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Ex1.xml" ContentType="application/vnd.ms-office.chartex+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6.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Ex2.xml" ContentType="application/vnd.ms-office.chartex+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charts/chart7.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0.xml" ContentType="application/vnd.openxmlformats-officedocument.drawing+xml"/>
  <Override PartName="/xl/charts/chartEx3.xml" ContentType="application/vnd.ms-office.chartex+xml"/>
  <Override PartName="/xl/charts/style10.xml" ContentType="application/vnd.ms-office.chartstyle+xml"/>
  <Override PartName="/xl/charts/colors10.xml" ContentType="application/vnd.ms-office.chartcolorstyle+xml"/>
  <Override PartName="/xl/drawings/drawing11.xml" ContentType="application/vnd.openxmlformats-officedocument.drawing+xml"/>
  <Override PartName="/xl/charts/chart8.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2.xml" ContentType="application/vnd.openxmlformats-officedocument.drawing+xml"/>
  <Override PartName="/xl/charts/chart9.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3.xml" ContentType="application/vnd.openxmlformats-officedocument.drawing+xml"/>
  <Override PartName="/xl/charts/chartEx4.xml" ContentType="application/vnd.ms-office.chartex+xml"/>
  <Override PartName="/xl/charts/style13.xml" ContentType="application/vnd.ms-office.chartstyle+xml"/>
  <Override PartName="/xl/charts/colors13.xml" ContentType="application/vnd.ms-office.chartcolorstyle+xml"/>
  <Override PartName="/xl/charts/chartEx5.xml" ContentType="application/vnd.ms-office.chartex+xml"/>
  <Override PartName="/xl/charts/style14.xml" ContentType="application/vnd.ms-office.chartstyle+xml"/>
  <Override PartName="/xl/charts/colors14.xml" ContentType="application/vnd.ms-office.chartcolorstyle+xml"/>
  <Override PartName="/xl/drawings/drawing14.xml" ContentType="application/vnd.openxmlformats-officedocument.drawing+xml"/>
  <Override PartName="/xl/charts/chart10.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5.xml" ContentType="application/vnd.openxmlformats-officedocument.drawing+xml"/>
  <Override PartName="/xl/charts/chart11.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6.xml" ContentType="application/vnd.openxmlformats-officedocument.drawing+xml"/>
  <Override PartName="/xl/charts/chart12.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7.xml" ContentType="application/vnd.openxmlformats-officedocument.drawing+xml"/>
  <Override PartName="/xl/charts/chart13.xml" ContentType="application/vnd.openxmlformats-officedocument.drawingml.chart+xml"/>
  <Override PartName="/xl/charts/style18.xml" ContentType="application/vnd.ms-office.chartstyle+xml"/>
  <Override PartName="/xl/charts/colors1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My Drive\Active Work\Manuscripts\Perspectives\"/>
    </mc:Choice>
  </mc:AlternateContent>
  <bookViews>
    <workbookView xWindow="-120" yWindow="-120" windowWidth="29040" windowHeight="15840" tabRatio="603"/>
  </bookViews>
  <sheets>
    <sheet name="Listing" sheetId="1" r:id="rId1"/>
    <sheet name="WM" sheetId="11" r:id="rId2"/>
    <sheet name="WM graph" sheetId="12" r:id="rId3"/>
    <sheet name="WM Single" sheetId="13" r:id="rId4"/>
    <sheet name="WM Single graph" sheetId="14" r:id="rId5"/>
    <sheet name="e-LTM" sheetId="17" r:id="rId6"/>
    <sheet name="e-LTM graph" sheetId="18" r:id="rId7"/>
    <sheet name="e-LTM Single" sheetId="19" r:id="rId8"/>
    <sheet name="e-LTM Single graph" sheetId="22" r:id="rId9"/>
    <sheet name="e-LTM Multiple" sheetId="20" r:id="rId10"/>
    <sheet name="e-LTM Multiple graph" sheetId="21" r:id="rId11"/>
    <sheet name="t-LTM" sheetId="23" r:id="rId12"/>
    <sheet name="t-LTM graph" sheetId="24" r:id="rId13"/>
    <sheet name="t-LTM Single" sheetId="25" r:id="rId14"/>
    <sheet name="t-LTM Single graph" sheetId="26" r:id="rId15"/>
    <sheet name="LLM" sheetId="29" r:id="rId16"/>
    <sheet name="LLM graph" sheetId="30" r:id="rId17"/>
    <sheet name="LLM Single" sheetId="31" r:id="rId18"/>
    <sheet name="LLM Single graph" sheetId="32" r:id="rId19"/>
    <sheet name="LLM Multiple" sheetId="33" r:id="rId20"/>
    <sheet name="LLM Multiple graph" sheetId="34" r:id="rId21"/>
    <sheet name="Bars" sheetId="35" r:id="rId22"/>
    <sheet name="Bars Single" sheetId="36" r:id="rId23"/>
    <sheet name="Bars Multiple" sheetId="37" r:id="rId24"/>
  </sheets>
  <definedNames>
    <definedName name="_xlchart.v1.0" hidden="1">Listing!$AG$6:$AG$138</definedName>
    <definedName name="_xlchart.v1.1" hidden="1">Listing!$AG$6:$AG$138</definedName>
    <definedName name="_xlchart.v1.2" hidden="1">Listing!$AG$6:$AG$138</definedName>
    <definedName name="_xlchart.v1.3" hidden="1">Listing!$AG$6:$AG$138</definedName>
    <definedName name="_xlchart.v1.4" hidden="1">Listing!$AG$6:$AG$138</definedName>
    <definedName name="solver_adj" localSheetId="0">Listing!#REF!</definedName>
    <definedName name="solver_opt" localSheetId="0">Listing!#REF!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28" i="33" l="1"/>
  <c r="AG21" i="33" l="1"/>
  <c r="AF21" i="33"/>
  <c r="AA21" i="33"/>
  <c r="W21" i="33"/>
  <c r="U21" i="33"/>
  <c r="R21" i="33"/>
  <c r="L21" i="33"/>
  <c r="K21" i="33"/>
  <c r="AZ20" i="33"/>
  <c r="AY20" i="33"/>
  <c r="AX20" i="33"/>
  <c r="AW20" i="33"/>
  <c r="AV20" i="33"/>
  <c r="Y21" i="33" s="1"/>
  <c r="AG19" i="33"/>
  <c r="AF19" i="33"/>
  <c r="AA19" i="33"/>
  <c r="W19" i="33"/>
  <c r="U19" i="33"/>
  <c r="R19" i="33"/>
  <c r="L19" i="33"/>
  <c r="K19" i="33"/>
  <c r="AZ18" i="33"/>
  <c r="AY18" i="33"/>
  <c r="AX18" i="33"/>
  <c r="AW18" i="33"/>
  <c r="AV18" i="33"/>
  <c r="Y19" i="33" s="1"/>
  <c r="AG17" i="33"/>
  <c r="AF17" i="33"/>
  <c r="AB17" i="33"/>
  <c r="Y17" i="33"/>
  <c r="AE17" i="33" s="1"/>
  <c r="W17" i="33"/>
  <c r="U17" i="33"/>
  <c r="R17" i="33"/>
  <c r="L17" i="33"/>
  <c r="K17" i="33"/>
  <c r="AX16" i="33"/>
  <c r="AW16" i="33"/>
  <c r="AG15" i="33"/>
  <c r="AF15" i="33"/>
  <c r="AA15" i="33"/>
  <c r="AB15" i="33" s="1"/>
  <c r="Y15" i="33"/>
  <c r="W15" i="33"/>
  <c r="U15" i="33"/>
  <c r="R15" i="33"/>
  <c r="L15" i="33"/>
  <c r="K15" i="33"/>
  <c r="AY14" i="33"/>
  <c r="AX14" i="33"/>
  <c r="AW14" i="33"/>
  <c r="AG13" i="33"/>
  <c r="AF13" i="33"/>
  <c r="AA13" i="33"/>
  <c r="Y13" i="33"/>
  <c r="W13" i="33"/>
  <c r="U13" i="33"/>
  <c r="R13" i="33"/>
  <c r="L13" i="33"/>
  <c r="K13" i="33"/>
  <c r="AY12" i="33"/>
  <c r="AX12" i="33"/>
  <c r="AW12" i="33"/>
  <c r="AG11" i="33"/>
  <c r="AF11" i="33"/>
  <c r="AB11" i="33"/>
  <c r="W11" i="33"/>
  <c r="U11" i="33"/>
  <c r="R11" i="33"/>
  <c r="L11" i="33"/>
  <c r="K11" i="33"/>
  <c r="AZ10" i="33"/>
  <c r="AY10" i="33"/>
  <c r="AX10" i="33"/>
  <c r="AW10" i="33"/>
  <c r="AV10" i="33"/>
  <c r="Y11" i="33" s="1"/>
  <c r="AE11" i="33" s="1"/>
  <c r="AG9" i="33"/>
  <c r="AF9" i="33"/>
  <c r="AB9" i="33"/>
  <c r="Y9" i="33"/>
  <c r="AE9" i="33" s="1"/>
  <c r="W9" i="33"/>
  <c r="U9" i="33"/>
  <c r="R9" i="33"/>
  <c r="L9" i="33"/>
  <c r="K9" i="33"/>
  <c r="AY8" i="33"/>
  <c r="AX8" i="33"/>
  <c r="AW8" i="33"/>
  <c r="AG7" i="33"/>
  <c r="AF7" i="33"/>
  <c r="AB7" i="33"/>
  <c r="Y7" i="33"/>
  <c r="AE7" i="33" s="1"/>
  <c r="W7" i="33"/>
  <c r="U7" i="33"/>
  <c r="R7" i="33"/>
  <c r="L7" i="33"/>
  <c r="K7" i="33"/>
  <c r="AY6" i="33"/>
  <c r="AX6" i="33"/>
  <c r="AW6" i="33"/>
  <c r="AT5" i="33"/>
  <c r="AS5" i="33"/>
  <c r="AR5" i="33"/>
  <c r="AQ5" i="33"/>
  <c r="AP5" i="33"/>
  <c r="AO5" i="33"/>
  <c r="AN5" i="33"/>
  <c r="AM5" i="33"/>
  <c r="AL5" i="33"/>
  <c r="AK5" i="33"/>
  <c r="AJ5" i="33"/>
  <c r="AI5" i="33"/>
  <c r="AG5" i="33"/>
  <c r="AF5" i="33"/>
  <c r="AC5" i="33"/>
  <c r="AD5" i="33" s="1"/>
  <c r="AA5" i="33"/>
  <c r="Y5" i="33"/>
  <c r="W5" i="33"/>
  <c r="U5" i="33"/>
  <c r="R5" i="33"/>
  <c r="L5" i="33"/>
  <c r="K5" i="33"/>
  <c r="AT3" i="33"/>
  <c r="AS3" i="33"/>
  <c r="AR3" i="33"/>
  <c r="AQ3" i="33"/>
  <c r="AP3" i="33"/>
  <c r="AO3" i="33"/>
  <c r="AN3" i="33"/>
  <c r="AM3" i="33"/>
  <c r="AL3" i="33"/>
  <c r="AK3" i="33"/>
  <c r="AJ3" i="33"/>
  <c r="AI3" i="33"/>
  <c r="AG3" i="33"/>
  <c r="AF3" i="33"/>
  <c r="AC3" i="33"/>
  <c r="AD3" i="33" s="1"/>
  <c r="AB3" i="33"/>
  <c r="Y3" i="33"/>
  <c r="AE3" i="33" s="1"/>
  <c r="W3" i="33"/>
  <c r="U3" i="33"/>
  <c r="R3" i="33"/>
  <c r="L3" i="33"/>
  <c r="K3" i="33"/>
  <c r="D7" i="32"/>
  <c r="AG25" i="31"/>
  <c r="AF25" i="31"/>
  <c r="AA25" i="31"/>
  <c r="AB25" i="31" s="1"/>
  <c r="W25" i="31"/>
  <c r="U25" i="31"/>
  <c r="R25" i="31"/>
  <c r="L25" i="31"/>
  <c r="K25" i="31"/>
  <c r="BG24" i="31"/>
  <c r="BF24" i="31"/>
  <c r="BE24" i="31"/>
  <c r="BD24" i="31"/>
  <c r="BC24" i="31"/>
  <c r="BB24" i="31"/>
  <c r="BA24" i="31"/>
  <c r="AZ24" i="31"/>
  <c r="AY24" i="31"/>
  <c r="AX24" i="31"/>
  <c r="AW24" i="31"/>
  <c r="AV24" i="31"/>
  <c r="AT23" i="31"/>
  <c r="AS23" i="31"/>
  <c r="AR23" i="31"/>
  <c r="AQ23" i="31"/>
  <c r="AP23" i="31"/>
  <c r="AO23" i="31"/>
  <c r="AN23" i="31"/>
  <c r="AM23" i="31"/>
  <c r="AL23" i="31"/>
  <c r="AK23" i="31"/>
  <c r="AJ23" i="31"/>
  <c r="AI23" i="31"/>
  <c r="AG23" i="31"/>
  <c r="AF23" i="31"/>
  <c r="AC23" i="31"/>
  <c r="AD23" i="31" s="1"/>
  <c r="AA23" i="31"/>
  <c r="Y23" i="31"/>
  <c r="W23" i="31"/>
  <c r="U23" i="31"/>
  <c r="R23" i="31"/>
  <c r="L23" i="31"/>
  <c r="K23" i="31"/>
  <c r="AG21" i="31"/>
  <c r="AF21" i="31"/>
  <c r="AA21" i="31"/>
  <c r="W21" i="31"/>
  <c r="U21" i="31"/>
  <c r="R21" i="31"/>
  <c r="L21" i="31"/>
  <c r="K21" i="31"/>
  <c r="AY20" i="31"/>
  <c r="AX20" i="31"/>
  <c r="AW20" i="31"/>
  <c r="AV20" i="31"/>
  <c r="AG19" i="31"/>
  <c r="AF19" i="31"/>
  <c r="AA19" i="31"/>
  <c r="AB19" i="31" s="1"/>
  <c r="W19" i="31"/>
  <c r="U19" i="31"/>
  <c r="R19" i="31"/>
  <c r="L19" i="31"/>
  <c r="K19" i="31"/>
  <c r="AY18" i="31"/>
  <c r="AX18" i="31"/>
  <c r="AW18" i="31"/>
  <c r="AV18" i="31"/>
  <c r="AT17" i="31" a="1"/>
  <c r="AT17" i="31" s="1"/>
  <c r="AS17" i="31" a="1"/>
  <c r="AS17" i="31" s="1"/>
  <c r="AR17" i="31" a="1"/>
  <c r="AR17" i="31" s="1"/>
  <c r="AQ17" i="31" a="1"/>
  <c r="AQ17" i="31" s="1"/>
  <c r="AP17" i="31" a="1"/>
  <c r="AP17" i="31" s="1"/>
  <c r="AO17" i="31" a="1"/>
  <c r="AO17" i="31" s="1"/>
  <c r="AN17" i="31" a="1"/>
  <c r="AN17" i="31" s="1"/>
  <c r="AM17" i="31" a="1"/>
  <c r="AM17" i="31" s="1"/>
  <c r="AL17" i="31" a="1"/>
  <c r="AL17" i="31" s="1"/>
  <c r="AK17" i="31"/>
  <c r="AJ17" i="31"/>
  <c r="AI17" i="31"/>
  <c r="AG17" i="31"/>
  <c r="AF17" i="31"/>
  <c r="AC17" i="31"/>
  <c r="AD17" i="31" s="1"/>
  <c r="AB17" i="31"/>
  <c r="Y17" i="31"/>
  <c r="AE17" i="31" s="1"/>
  <c r="W17" i="31"/>
  <c r="U17" i="31"/>
  <c r="R17" i="31"/>
  <c r="L17" i="31"/>
  <c r="K17" i="31"/>
  <c r="AG15" i="31"/>
  <c r="AF15" i="31"/>
  <c r="AB15" i="31"/>
  <c r="W15" i="31"/>
  <c r="U15" i="31"/>
  <c r="R15" i="31"/>
  <c r="L15" i="31"/>
  <c r="K15" i="31"/>
  <c r="AY14" i="31"/>
  <c r="AX14" i="31"/>
  <c r="AW14" i="31"/>
  <c r="AV14" i="31"/>
  <c r="AG13" i="31"/>
  <c r="AF13" i="31"/>
  <c r="AB13" i="31"/>
  <c r="W13" i="31"/>
  <c r="U13" i="31"/>
  <c r="R13" i="31"/>
  <c r="L13" i="31"/>
  <c r="K13" i="31"/>
  <c r="AY12" i="31"/>
  <c r="AX12" i="31"/>
  <c r="AW12" i="31"/>
  <c r="AV12" i="31"/>
  <c r="Y13" i="31" s="1"/>
  <c r="AE13" i="31" s="1"/>
  <c r="AG11" i="31"/>
  <c r="AF11" i="31"/>
  <c r="AA11" i="31"/>
  <c r="AB11" i="31" s="1"/>
  <c r="Y11" i="31"/>
  <c r="W11" i="31"/>
  <c r="U11" i="31"/>
  <c r="R11" i="31"/>
  <c r="L11" i="31"/>
  <c r="K11" i="31"/>
  <c r="AY10" i="31"/>
  <c r="AX10" i="31"/>
  <c r="AW10" i="31"/>
  <c r="AG9" i="31"/>
  <c r="AF9" i="31"/>
  <c r="AB9" i="31"/>
  <c r="Y9" i="31"/>
  <c r="AE9" i="31" s="1"/>
  <c r="W9" i="31"/>
  <c r="U9" i="31"/>
  <c r="R9" i="31"/>
  <c r="L9" i="31"/>
  <c r="K9" i="31"/>
  <c r="AY8" i="31"/>
  <c r="AX8" i="31"/>
  <c r="AW8" i="31"/>
  <c r="AG7" i="31"/>
  <c r="AF7" i="31"/>
  <c r="AB7" i="31"/>
  <c r="Y7" i="31"/>
  <c r="AE7" i="31" s="1"/>
  <c r="W7" i="31"/>
  <c r="U7" i="31"/>
  <c r="R7" i="31"/>
  <c r="L7" i="31"/>
  <c r="K7" i="31"/>
  <c r="AY6" i="31"/>
  <c r="AX6" i="31"/>
  <c r="AW6" i="31"/>
  <c r="AT5" i="31"/>
  <c r="AS5" i="31"/>
  <c r="AR5" i="31"/>
  <c r="AQ5" i="31"/>
  <c r="AP5" i="31"/>
  <c r="AO5" i="31"/>
  <c r="AN5" i="31"/>
  <c r="AM5" i="31"/>
  <c r="AL5" i="31"/>
  <c r="AK5" i="31"/>
  <c r="AJ5" i="31"/>
  <c r="AI5" i="31"/>
  <c r="AG5" i="31"/>
  <c r="AF5" i="31"/>
  <c r="AC5" i="31"/>
  <c r="AD5" i="31" s="1"/>
  <c r="AB5" i="31"/>
  <c r="Y5" i="31"/>
  <c r="AE5" i="31" s="1"/>
  <c r="W5" i="31"/>
  <c r="U5" i="31"/>
  <c r="R5" i="31"/>
  <c r="L5" i="31"/>
  <c r="K5" i="31"/>
  <c r="AT3" i="31"/>
  <c r="AS3" i="31"/>
  <c r="AR3" i="31"/>
  <c r="AQ3" i="31"/>
  <c r="AP3" i="31"/>
  <c r="AO3" i="31"/>
  <c r="AN3" i="31"/>
  <c r="AM3" i="31"/>
  <c r="AL3" i="31"/>
  <c r="AK3" i="31"/>
  <c r="AJ3" i="31"/>
  <c r="AI3" i="31"/>
  <c r="AG3" i="31"/>
  <c r="AF3" i="31"/>
  <c r="AC3" i="31"/>
  <c r="AD3" i="31" s="1"/>
  <c r="AB3" i="31"/>
  <c r="Y3" i="31"/>
  <c r="AE3" i="31" s="1"/>
  <c r="W3" i="31"/>
  <c r="U3" i="31"/>
  <c r="R3" i="31"/>
  <c r="L3" i="31"/>
  <c r="K3" i="31"/>
  <c r="AG45" i="29"/>
  <c r="AF45" i="29"/>
  <c r="AA45" i="29"/>
  <c r="AB45" i="29" s="1"/>
  <c r="W45" i="29"/>
  <c r="U45" i="29"/>
  <c r="R45" i="29"/>
  <c r="L45" i="29"/>
  <c r="K45" i="29"/>
  <c r="BG44" i="29"/>
  <c r="BF44" i="29"/>
  <c r="BE44" i="29"/>
  <c r="BD44" i="29"/>
  <c r="BC44" i="29"/>
  <c r="BB44" i="29"/>
  <c r="BA44" i="29"/>
  <c r="AZ44" i="29"/>
  <c r="AY44" i="29"/>
  <c r="AX44" i="29"/>
  <c r="AW44" i="29"/>
  <c r="AV44" i="29"/>
  <c r="AG43" i="29"/>
  <c r="AF43" i="29"/>
  <c r="AA43" i="29"/>
  <c r="AB43" i="29" s="1"/>
  <c r="W43" i="29"/>
  <c r="U43" i="29"/>
  <c r="R43" i="29"/>
  <c r="L43" i="29"/>
  <c r="K43" i="29"/>
  <c r="AZ42" i="29"/>
  <c r="AY42" i="29"/>
  <c r="AX42" i="29"/>
  <c r="AW42" i="29"/>
  <c r="AV42" i="29"/>
  <c r="AG41" i="29"/>
  <c r="AF41" i="29"/>
  <c r="AA41" i="29"/>
  <c r="AB41" i="29" s="1"/>
  <c r="W41" i="29"/>
  <c r="U41" i="29"/>
  <c r="R41" i="29"/>
  <c r="L41" i="29"/>
  <c r="K41" i="29"/>
  <c r="AZ40" i="29"/>
  <c r="AY40" i="29"/>
  <c r="AX40" i="29"/>
  <c r="AW40" i="29"/>
  <c r="AV40" i="29"/>
  <c r="Y41" i="29" s="1"/>
  <c r="AG39" i="29"/>
  <c r="AF39" i="29"/>
  <c r="AB39" i="29"/>
  <c r="Y39" i="29"/>
  <c r="AE39" i="29" s="1"/>
  <c r="W39" i="29"/>
  <c r="U39" i="29"/>
  <c r="R39" i="29"/>
  <c r="L39" i="29"/>
  <c r="K39" i="29"/>
  <c r="AX38" i="29"/>
  <c r="AW38" i="29"/>
  <c r="AT37" i="29"/>
  <c r="AS37" i="29"/>
  <c r="AR37" i="29"/>
  <c r="AQ37" i="29"/>
  <c r="AP37" i="29"/>
  <c r="AO37" i="29"/>
  <c r="AN37" i="29"/>
  <c r="AM37" i="29"/>
  <c r="AL37" i="29"/>
  <c r="AK37" i="29"/>
  <c r="AJ37" i="29"/>
  <c r="AI37" i="29"/>
  <c r="AG37" i="29"/>
  <c r="AF37" i="29"/>
  <c r="AC37" i="29"/>
  <c r="AD37" i="29" s="1"/>
  <c r="AA37" i="29"/>
  <c r="AB37" i="29" s="1"/>
  <c r="Y37" i="29"/>
  <c r="W37" i="29"/>
  <c r="U37" i="29"/>
  <c r="R37" i="29"/>
  <c r="L37" i="29"/>
  <c r="K37" i="29"/>
  <c r="AG35" i="29"/>
  <c r="AF35" i="29"/>
  <c r="AA35" i="29"/>
  <c r="AB35" i="29" s="1"/>
  <c r="W35" i="29"/>
  <c r="U35" i="29"/>
  <c r="R35" i="29"/>
  <c r="L35" i="29"/>
  <c r="K35" i="29"/>
  <c r="AY34" i="29"/>
  <c r="AX34" i="29"/>
  <c r="AW34" i="29"/>
  <c r="AV34" i="29"/>
  <c r="AG33" i="29"/>
  <c r="AF33" i="29"/>
  <c r="AA33" i="29"/>
  <c r="W33" i="29"/>
  <c r="U33" i="29"/>
  <c r="R33" i="29"/>
  <c r="L33" i="29"/>
  <c r="K33" i="29"/>
  <c r="AY32" i="29"/>
  <c r="AX32" i="29"/>
  <c r="AW32" i="29"/>
  <c r="AV32" i="29"/>
  <c r="Y33" i="29" s="1"/>
  <c r="AT31" i="29" a="1"/>
  <c r="AT31" i="29" s="1"/>
  <c r="AS31" i="29" a="1"/>
  <c r="AS31" i="29" s="1"/>
  <c r="AR31" i="29" a="1"/>
  <c r="AR31" i="29" s="1"/>
  <c r="AQ31" i="29" a="1"/>
  <c r="AQ31" i="29" s="1"/>
  <c r="AP31" i="29" a="1"/>
  <c r="AP31" i="29" s="1"/>
  <c r="AO31" i="29" a="1"/>
  <c r="AO31" i="29" s="1"/>
  <c r="AN31" i="29" a="1"/>
  <c r="AN31" i="29" s="1"/>
  <c r="AM31" i="29" a="1"/>
  <c r="AM31" i="29" s="1"/>
  <c r="AL31" i="29" a="1"/>
  <c r="AL31" i="29" s="1"/>
  <c r="AK31" i="29"/>
  <c r="AJ31" i="29"/>
  <c r="AI31" i="29"/>
  <c r="AG31" i="29"/>
  <c r="AF31" i="29"/>
  <c r="AC31" i="29"/>
  <c r="AD31" i="29" s="1"/>
  <c r="AB31" i="29"/>
  <c r="Y31" i="29"/>
  <c r="AE31" i="29" s="1"/>
  <c r="W31" i="29"/>
  <c r="U31" i="29"/>
  <c r="R31" i="29"/>
  <c r="L31" i="29"/>
  <c r="K31" i="29"/>
  <c r="AG29" i="29"/>
  <c r="AF29" i="29"/>
  <c r="AB29" i="29"/>
  <c r="W29" i="29"/>
  <c r="U29" i="29"/>
  <c r="R29" i="29"/>
  <c r="L29" i="29"/>
  <c r="K29" i="29"/>
  <c r="AY28" i="29"/>
  <c r="AX28" i="29"/>
  <c r="AW28" i="29"/>
  <c r="AV28" i="29"/>
  <c r="AG27" i="29"/>
  <c r="AF27" i="29"/>
  <c r="AB27" i="29"/>
  <c r="W27" i="29"/>
  <c r="U27" i="29"/>
  <c r="R27" i="29"/>
  <c r="L27" i="29"/>
  <c r="K27" i="29"/>
  <c r="AY26" i="29"/>
  <c r="AX26" i="29"/>
  <c r="AW26" i="29"/>
  <c r="AV26" i="29"/>
  <c r="Y27" i="29" s="1"/>
  <c r="AE27" i="29" s="1"/>
  <c r="AG25" i="29"/>
  <c r="AF25" i="29"/>
  <c r="AA25" i="29"/>
  <c r="AB25" i="29" s="1"/>
  <c r="Y25" i="29"/>
  <c r="W25" i="29"/>
  <c r="U25" i="29"/>
  <c r="R25" i="29"/>
  <c r="L25" i="29"/>
  <c r="K25" i="29"/>
  <c r="AY24" i="29"/>
  <c r="AX24" i="29"/>
  <c r="AW24" i="29"/>
  <c r="AG23" i="29"/>
  <c r="AF23" i="29"/>
  <c r="AA23" i="29"/>
  <c r="Y23" i="29"/>
  <c r="W23" i="29"/>
  <c r="U23" i="29"/>
  <c r="R23" i="29"/>
  <c r="L23" i="29"/>
  <c r="K23" i="29"/>
  <c r="AY22" i="29"/>
  <c r="AX22" i="29"/>
  <c r="AW22" i="29"/>
  <c r="AG21" i="29"/>
  <c r="AF21" i="29"/>
  <c r="AA21" i="29"/>
  <c r="AB21" i="29" s="1"/>
  <c r="Y21" i="29"/>
  <c r="W21" i="29"/>
  <c r="U21" i="29"/>
  <c r="R21" i="29"/>
  <c r="L21" i="29"/>
  <c r="K21" i="29"/>
  <c r="AY20" i="29"/>
  <c r="AX20" i="29"/>
  <c r="AW20" i="29"/>
  <c r="AG19" i="29"/>
  <c r="AF19" i="29"/>
  <c r="AB19" i="29"/>
  <c r="W19" i="29"/>
  <c r="U19" i="29"/>
  <c r="R19" i="29"/>
  <c r="L19" i="29"/>
  <c r="K19" i="29"/>
  <c r="AZ18" i="29"/>
  <c r="AY18" i="29"/>
  <c r="AX18" i="29"/>
  <c r="AW18" i="29"/>
  <c r="AV18" i="29"/>
  <c r="AG17" i="29"/>
  <c r="AF17" i="29"/>
  <c r="AB17" i="29"/>
  <c r="Y17" i="29"/>
  <c r="AE17" i="29" s="1"/>
  <c r="W17" i="29"/>
  <c r="U17" i="29"/>
  <c r="R17" i="29"/>
  <c r="L17" i="29"/>
  <c r="K17" i="29"/>
  <c r="AY16" i="29"/>
  <c r="AX16" i="29"/>
  <c r="AW16" i="29"/>
  <c r="AG15" i="29"/>
  <c r="AF15" i="29"/>
  <c r="AB15" i="29"/>
  <c r="Y15" i="29"/>
  <c r="AE15" i="29" s="1"/>
  <c r="W15" i="29"/>
  <c r="U15" i="29"/>
  <c r="R15" i="29"/>
  <c r="L15" i="29"/>
  <c r="K15" i="29"/>
  <c r="AY14" i="29"/>
  <c r="AX14" i="29"/>
  <c r="AW14" i="29"/>
  <c r="AG13" i="29"/>
  <c r="AF13" i="29"/>
  <c r="AB13" i="29"/>
  <c r="Y13" i="29"/>
  <c r="AE13" i="29" s="1"/>
  <c r="W13" i="29"/>
  <c r="U13" i="29"/>
  <c r="R13" i="29"/>
  <c r="L13" i="29"/>
  <c r="K13" i="29"/>
  <c r="AY12" i="29"/>
  <c r="AX12" i="29"/>
  <c r="AW12" i="29"/>
  <c r="AG11" i="29"/>
  <c r="AF11" i="29"/>
  <c r="AB11" i="29"/>
  <c r="Y11" i="29"/>
  <c r="AE11" i="29" s="1"/>
  <c r="W11" i="29"/>
  <c r="U11" i="29"/>
  <c r="R11" i="29"/>
  <c r="L11" i="29"/>
  <c r="K11" i="29"/>
  <c r="AY10" i="29"/>
  <c r="AX10" i="29"/>
  <c r="AW10" i="29"/>
  <c r="AT9" i="29"/>
  <c r="AS9" i="29"/>
  <c r="AR9" i="29"/>
  <c r="AQ9" i="29"/>
  <c r="AP9" i="29"/>
  <c r="AO9" i="29"/>
  <c r="AN9" i="29"/>
  <c r="AM9" i="29"/>
  <c r="AL9" i="29"/>
  <c r="AK9" i="29"/>
  <c r="AJ9" i="29"/>
  <c r="AI9" i="29"/>
  <c r="AG9" i="29"/>
  <c r="AF9" i="29"/>
  <c r="AC9" i="29"/>
  <c r="AD9" i="29" s="1"/>
  <c r="AB9" i="29"/>
  <c r="Y9" i="29"/>
  <c r="AE9" i="29" s="1"/>
  <c r="W9" i="29"/>
  <c r="U9" i="29"/>
  <c r="R9" i="29"/>
  <c r="L9" i="29"/>
  <c r="K9" i="29"/>
  <c r="AT7" i="29"/>
  <c r="AS7" i="29"/>
  <c r="AR7" i="29"/>
  <c r="AQ7" i="29"/>
  <c r="AP7" i="29"/>
  <c r="AO7" i="29"/>
  <c r="AN7" i="29"/>
  <c r="AM7" i="29"/>
  <c r="AL7" i="29"/>
  <c r="AK7" i="29"/>
  <c r="AJ7" i="29"/>
  <c r="AI7" i="29"/>
  <c r="AG7" i="29"/>
  <c r="AF7" i="29"/>
  <c r="AC7" i="29"/>
  <c r="AD7" i="29" s="1"/>
  <c r="AB7" i="29"/>
  <c r="Y7" i="29"/>
  <c r="AE7" i="29" s="1"/>
  <c r="W7" i="29"/>
  <c r="U7" i="29"/>
  <c r="R7" i="29"/>
  <c r="L7" i="29"/>
  <c r="K7" i="29"/>
  <c r="AT5" i="29"/>
  <c r="AS5" i="29"/>
  <c r="AR5" i="29"/>
  <c r="AQ5" i="29"/>
  <c r="AP5" i="29"/>
  <c r="AO5" i="29"/>
  <c r="AN5" i="29"/>
  <c r="AM5" i="29"/>
  <c r="AL5" i="29"/>
  <c r="AK5" i="29"/>
  <c r="AJ5" i="29"/>
  <c r="AI5" i="29"/>
  <c r="AG5" i="29"/>
  <c r="AF5" i="29"/>
  <c r="AC5" i="29"/>
  <c r="AD5" i="29" s="1"/>
  <c r="AA5" i="29"/>
  <c r="AB5" i="29" s="1"/>
  <c r="Y5" i="29"/>
  <c r="W5" i="29"/>
  <c r="U5" i="29"/>
  <c r="R5" i="29"/>
  <c r="L5" i="29"/>
  <c r="K5" i="29"/>
  <c r="AT3" i="29"/>
  <c r="AS3" i="29"/>
  <c r="AR3" i="29"/>
  <c r="AQ3" i="29"/>
  <c r="AP3" i="29"/>
  <c r="AO3" i="29"/>
  <c r="AN3" i="29"/>
  <c r="AM3" i="29"/>
  <c r="AL3" i="29"/>
  <c r="AK3" i="29"/>
  <c r="AJ3" i="29"/>
  <c r="AI3" i="29"/>
  <c r="AG3" i="29"/>
  <c r="AF3" i="29"/>
  <c r="AC3" i="29"/>
  <c r="AD3" i="29" s="1"/>
  <c r="AB3" i="29"/>
  <c r="Y3" i="29"/>
  <c r="AE3" i="29" s="1"/>
  <c r="W3" i="29"/>
  <c r="U3" i="29"/>
  <c r="R3" i="29"/>
  <c r="L3" i="29"/>
  <c r="K3" i="29"/>
  <c r="AJ15" i="33" l="1"/>
  <c r="AE5" i="33"/>
  <c r="AC7" i="33"/>
  <c r="AD7" i="33" s="1"/>
  <c r="AC9" i="33"/>
  <c r="AD9" i="33" s="1"/>
  <c r="AJ13" i="33"/>
  <c r="AE13" i="33"/>
  <c r="AI21" i="33"/>
  <c r="AB5" i="33"/>
  <c r="AJ9" i="33"/>
  <c r="AK15" i="33"/>
  <c r="AC17" i="33"/>
  <c r="AD17" i="33" s="1"/>
  <c r="AJ19" i="33"/>
  <c r="AC21" i="33"/>
  <c r="AD21" i="33" s="1"/>
  <c r="AE21" i="33"/>
  <c r="AC15" i="33"/>
  <c r="AD15" i="33" s="1"/>
  <c r="AE19" i="33"/>
  <c r="AK13" i="33"/>
  <c r="AE15" i="33"/>
  <c r="AJ21" i="33"/>
  <c r="AI9" i="33"/>
  <c r="AI11" i="33"/>
  <c r="AI13" i="33"/>
  <c r="AI19" i="33"/>
  <c r="AB21" i="33"/>
  <c r="AK21" i="33"/>
  <c r="AJ11" i="33"/>
  <c r="AI7" i="33"/>
  <c r="AK9" i="33"/>
  <c r="AK11" i="33"/>
  <c r="AS11" i="33"/>
  <c r="AB13" i="33"/>
  <c r="AI17" i="33"/>
  <c r="AB19" i="33"/>
  <c r="AK19" i="33"/>
  <c r="AS19" i="33"/>
  <c r="AM21" i="33"/>
  <c r="AJ7" i="33"/>
  <c r="AC11" i="33"/>
  <c r="AD11" i="33" s="1"/>
  <c r="AC13" i="33"/>
  <c r="AD13" i="33" s="1"/>
  <c r="AJ17" i="33"/>
  <c r="AC19" i="33"/>
  <c r="AD19" i="33" s="1"/>
  <c r="AL19" i="33"/>
  <c r="AT19" i="33"/>
  <c r="AN21" i="33"/>
  <c r="AK7" i="33"/>
  <c r="AI15" i="33"/>
  <c r="AK17" i="33"/>
  <c r="AM19" i="33"/>
  <c r="AO21" i="33"/>
  <c r="AJ9" i="31"/>
  <c r="AC11" i="31"/>
  <c r="AD11" i="31" s="1"/>
  <c r="AI21" i="31"/>
  <c r="AC25" i="31"/>
  <c r="AD25" i="31" s="1"/>
  <c r="AJ13" i="31"/>
  <c r="AC15" i="31"/>
  <c r="AD15" i="31" s="1"/>
  <c r="AI9" i="31"/>
  <c r="AC13" i="31"/>
  <c r="AD13" i="31" s="1"/>
  <c r="AK21" i="31"/>
  <c r="Y21" i="31"/>
  <c r="AE21" i="31" s="1"/>
  <c r="AJ7" i="31"/>
  <c r="AI11" i="31"/>
  <c r="AI7" i="31"/>
  <c r="AK11" i="31"/>
  <c r="AT15" i="31"/>
  <c r="AB21" i="31"/>
  <c r="AC9" i="31"/>
  <c r="AD9" i="31" s="1"/>
  <c r="AE11" i="31"/>
  <c r="AK15" i="31"/>
  <c r="Y15" i="31"/>
  <c r="AE15" i="31" s="1"/>
  <c r="AJ19" i="31"/>
  <c r="AE23" i="31"/>
  <c r="AC7" i="31"/>
  <c r="AD7" i="31" s="1"/>
  <c r="AI13" i="31"/>
  <c r="AJ21" i="31"/>
  <c r="AR21" i="31"/>
  <c r="AN25" i="31"/>
  <c r="AO25" i="31"/>
  <c r="AK13" i="31"/>
  <c r="AS13" i="31"/>
  <c r="AO15" i="31"/>
  <c r="Y19" i="31"/>
  <c r="AE19" i="31" s="1"/>
  <c r="AI19" i="31"/>
  <c r="AQ19" i="31"/>
  <c r="AC21" i="31"/>
  <c r="AD21" i="31" s="1"/>
  <c r="AL21" i="31"/>
  <c r="AT21" i="31"/>
  <c r="AB23" i="31"/>
  <c r="AP25" i="31"/>
  <c r="Y25" i="31"/>
  <c r="AE25" i="31" s="1"/>
  <c r="AI25" i="31"/>
  <c r="AQ25" i="31"/>
  <c r="AK7" i="31"/>
  <c r="AI15" i="31"/>
  <c r="AK19" i="31"/>
  <c r="AS19" i="31"/>
  <c r="AN21" i="31"/>
  <c r="AJ25" i="31"/>
  <c r="AR25" i="31"/>
  <c r="AK9" i="31"/>
  <c r="AJ11" i="31"/>
  <c r="AJ15" i="31"/>
  <c r="AC19" i="31"/>
  <c r="AD19" i="31" s="1"/>
  <c r="AL19" i="31"/>
  <c r="AO21" i="31"/>
  <c r="AK25" i="31"/>
  <c r="AS25" i="31"/>
  <c r="AL25" i="31"/>
  <c r="AC43" i="29"/>
  <c r="AD43" i="29" s="1"/>
  <c r="AK23" i="29"/>
  <c r="AK21" i="29"/>
  <c r="AE25" i="29"/>
  <c r="AI17" i="29"/>
  <c r="AK15" i="29"/>
  <c r="AJ19" i="29"/>
  <c r="AE5" i="29"/>
  <c r="AC39" i="29"/>
  <c r="AD39" i="29" s="1"/>
  <c r="AC11" i="29"/>
  <c r="AD11" i="29" s="1"/>
  <c r="AK25" i="29"/>
  <c r="AI21" i="29"/>
  <c r="AJ33" i="29"/>
  <c r="AJ23" i="29"/>
  <c r="AE23" i="29"/>
  <c r="AC25" i="29"/>
  <c r="AD25" i="29" s="1"/>
  <c r="AC35" i="29"/>
  <c r="AD35" i="29" s="1"/>
  <c r="AJ17" i="29"/>
  <c r="AT43" i="29"/>
  <c r="AC13" i="29"/>
  <c r="AD13" i="29" s="1"/>
  <c r="AI23" i="29"/>
  <c r="AE37" i="29"/>
  <c r="AJ41" i="29"/>
  <c r="AE41" i="29"/>
  <c r="AK43" i="29"/>
  <c r="AC45" i="29"/>
  <c r="AD45" i="29" s="1"/>
  <c r="AK41" i="29"/>
  <c r="AK17" i="29"/>
  <c r="AE21" i="29"/>
  <c r="AC23" i="29"/>
  <c r="AD23" i="29" s="1"/>
  <c r="AB23" i="29"/>
  <c r="AC27" i="29"/>
  <c r="AD27" i="29" s="1"/>
  <c r="AJ11" i="29"/>
  <c r="AC19" i="29"/>
  <c r="AD19" i="29" s="1"/>
  <c r="AI25" i="29"/>
  <c r="AI39" i="29"/>
  <c r="AK11" i="29"/>
  <c r="AI15" i="29"/>
  <c r="AK13" i="29"/>
  <c r="AM29" i="29"/>
  <c r="AC29" i="29"/>
  <c r="AD29" i="29" s="1"/>
  <c r="AR29" i="29"/>
  <c r="AJ29" i="29"/>
  <c r="Y29" i="29"/>
  <c r="AE29" i="29" s="1"/>
  <c r="AK33" i="29"/>
  <c r="AJ21" i="29"/>
  <c r="AE33" i="29"/>
  <c r="AC15" i="29"/>
  <c r="AD15" i="29" s="1"/>
  <c r="AQ19" i="29"/>
  <c r="AI19" i="29"/>
  <c r="AK27" i="29"/>
  <c r="AB33" i="29"/>
  <c r="AC17" i="29"/>
  <c r="AD17" i="29" s="1"/>
  <c r="Y19" i="29"/>
  <c r="AE19" i="29" s="1"/>
  <c r="AK19" i="29"/>
  <c r="AC21" i="29"/>
  <c r="AD21" i="29" s="1"/>
  <c r="AJ27" i="29"/>
  <c r="AI29" i="29"/>
  <c r="AC41" i="29"/>
  <c r="AD41" i="29" s="1"/>
  <c r="AI11" i="29"/>
  <c r="AJ25" i="29"/>
  <c r="AK29" i="29"/>
  <c r="AR35" i="29"/>
  <c r="AJ35" i="29"/>
  <c r="AI35" i="29"/>
  <c r="Y35" i="29"/>
  <c r="AE35" i="29" s="1"/>
  <c r="AK35" i="29"/>
  <c r="AI13" i="29"/>
  <c r="AI33" i="29"/>
  <c r="AJ45" i="29"/>
  <c r="AJ13" i="29"/>
  <c r="AJ15" i="29"/>
  <c r="AK45" i="29"/>
  <c r="AP33" i="29"/>
  <c r="AJ39" i="29"/>
  <c r="AP41" i="29"/>
  <c r="AJ43" i="29"/>
  <c r="AR43" i="29"/>
  <c r="Y45" i="29"/>
  <c r="AE45" i="29" s="1"/>
  <c r="AI45" i="29"/>
  <c r="AQ45" i="29"/>
  <c r="AK39" i="29"/>
  <c r="AI41" i="29"/>
  <c r="AC33" i="29"/>
  <c r="AD33" i="29" s="1"/>
  <c r="AL33" i="29"/>
  <c r="AT33" i="29"/>
  <c r="AI27" i="29"/>
  <c r="Y43" i="29"/>
  <c r="AE43" i="29" s="1"/>
  <c r="AI43" i="29"/>
  <c r="AT45" i="25"/>
  <c r="AS45" i="25"/>
  <c r="AR45" i="25"/>
  <c r="AQ45" i="25"/>
  <c r="AP45" i="25"/>
  <c r="AO45" i="25"/>
  <c r="AN45" i="25"/>
  <c r="AM45" i="25"/>
  <c r="AL45" i="25"/>
  <c r="AK45" i="25"/>
  <c r="AJ45" i="25"/>
  <c r="AI45" i="25"/>
  <c r="AG45" i="25"/>
  <c r="AF45" i="25"/>
  <c r="AD45" i="25"/>
  <c r="AC45" i="25"/>
  <c r="AA45" i="25"/>
  <c r="AB45" i="25" s="1"/>
  <c r="Y45" i="25"/>
  <c r="W45" i="25"/>
  <c r="U45" i="25"/>
  <c r="R45" i="25"/>
  <c r="L45" i="25"/>
  <c r="K45" i="25"/>
  <c r="AT43" i="25"/>
  <c r="AS43" i="25"/>
  <c r="AR43" i="25"/>
  <c r="AQ43" i="25"/>
  <c r="AP43" i="25"/>
  <c r="AO43" i="25"/>
  <c r="AN43" i="25"/>
  <c r="AM43" i="25"/>
  <c r="AL43" i="25"/>
  <c r="AK43" i="25"/>
  <c r="AJ43" i="25"/>
  <c r="AI43" i="25"/>
  <c r="AG43" i="25"/>
  <c r="AF43" i="25"/>
  <c r="AC43" i="25"/>
  <c r="AD43" i="25" s="1"/>
  <c r="AA43" i="25"/>
  <c r="AE43" i="25" s="1"/>
  <c r="Y43" i="25"/>
  <c r="W43" i="25"/>
  <c r="U43" i="25"/>
  <c r="R43" i="25"/>
  <c r="L43" i="25"/>
  <c r="K43" i="25"/>
  <c r="AT41" i="25"/>
  <c r="AS41" i="25"/>
  <c r="AR41" i="25"/>
  <c r="AQ41" i="25"/>
  <c r="AP41" i="25"/>
  <c r="AO41" i="25"/>
  <c r="AN41" i="25"/>
  <c r="AM41" i="25"/>
  <c r="AL41" i="25"/>
  <c r="AK41" i="25"/>
  <c r="AJ41" i="25"/>
  <c r="AI41" i="25"/>
  <c r="AG41" i="25"/>
  <c r="AF41" i="25"/>
  <c r="AC41" i="25"/>
  <c r="AD41" i="25" s="1"/>
  <c r="AA41" i="25"/>
  <c r="AB41" i="25" s="1"/>
  <c r="Y41" i="25"/>
  <c r="W41" i="25"/>
  <c r="U41" i="25"/>
  <c r="R41" i="25"/>
  <c r="L41" i="25"/>
  <c r="K41" i="25"/>
  <c r="AT39" i="25"/>
  <c r="AS39" i="25"/>
  <c r="AR39" i="25"/>
  <c r="AQ39" i="25"/>
  <c r="AP39" i="25"/>
  <c r="AO39" i="25"/>
  <c r="AN39" i="25"/>
  <c r="AM39" i="25"/>
  <c r="AL39" i="25"/>
  <c r="AK39" i="25"/>
  <c r="AJ39" i="25"/>
  <c r="AI39" i="25"/>
  <c r="AG39" i="25"/>
  <c r="AF39" i="25"/>
  <c r="AC39" i="25"/>
  <c r="AD39" i="25" s="1"/>
  <c r="AA39" i="25"/>
  <c r="Y39" i="25"/>
  <c r="W39" i="25"/>
  <c r="U39" i="25"/>
  <c r="R39" i="25"/>
  <c r="L39" i="25"/>
  <c r="K39" i="25"/>
  <c r="AG37" i="25"/>
  <c r="AF37" i="25"/>
  <c r="AB37" i="25"/>
  <c r="W37" i="25"/>
  <c r="U37" i="25"/>
  <c r="R37" i="25"/>
  <c r="L37" i="25"/>
  <c r="K37" i="25"/>
  <c r="BJ36" i="25"/>
  <c r="BI36" i="25"/>
  <c r="BH36" i="25"/>
  <c r="BG36" i="25"/>
  <c r="BF36" i="25"/>
  <c r="BE36" i="25"/>
  <c r="BD36" i="25"/>
  <c r="BC36" i="25"/>
  <c r="BB36" i="25"/>
  <c r="BA36" i="25"/>
  <c r="AZ36" i="25"/>
  <c r="AY36" i="25"/>
  <c r="AX36" i="25"/>
  <c r="AW36" i="25"/>
  <c r="AV36" i="25"/>
  <c r="AG35" i="25"/>
  <c r="AF35" i="25"/>
  <c r="AB35" i="25"/>
  <c r="W35" i="25"/>
  <c r="U35" i="25"/>
  <c r="R35" i="25"/>
  <c r="L35" i="25"/>
  <c r="K35" i="25"/>
  <c r="BJ34" i="25"/>
  <c r="BI34" i="25"/>
  <c r="BH34" i="25"/>
  <c r="BG34" i="25"/>
  <c r="BF34" i="25"/>
  <c r="BE34" i="25"/>
  <c r="BD34" i="25"/>
  <c r="BC34" i="25"/>
  <c r="BB34" i="25"/>
  <c r="BA34" i="25"/>
  <c r="AZ34" i="25"/>
  <c r="AY34" i="25"/>
  <c r="AX34" i="25"/>
  <c r="AW34" i="25"/>
  <c r="AV34" i="25"/>
  <c r="AG33" i="25"/>
  <c r="AF33" i="25"/>
  <c r="AB33" i="25"/>
  <c r="W33" i="25"/>
  <c r="U33" i="25"/>
  <c r="R33" i="25"/>
  <c r="L33" i="25"/>
  <c r="K33" i="25"/>
  <c r="BJ32" i="25"/>
  <c r="BI32" i="25"/>
  <c r="BH32" i="25"/>
  <c r="BG32" i="25"/>
  <c r="BF32" i="25"/>
  <c r="BE32" i="25"/>
  <c r="BD32" i="25"/>
  <c r="BC32" i="25"/>
  <c r="BB32" i="25"/>
  <c r="BA32" i="25"/>
  <c r="AZ32" i="25"/>
  <c r="AY32" i="25"/>
  <c r="AX32" i="25"/>
  <c r="AW32" i="25"/>
  <c r="AV32" i="25"/>
  <c r="AG31" i="25"/>
  <c r="AF31" i="25"/>
  <c r="AB31" i="25"/>
  <c r="Y31" i="25"/>
  <c r="AE31" i="25" s="1"/>
  <c r="W31" i="25"/>
  <c r="U31" i="25"/>
  <c r="R31" i="25"/>
  <c r="L31" i="25"/>
  <c r="K31" i="25"/>
  <c r="AX30" i="25"/>
  <c r="AC31" i="25" s="1"/>
  <c r="AD31" i="25" s="1"/>
  <c r="AW30" i="25"/>
  <c r="AP29" i="25"/>
  <c r="AG29" i="25"/>
  <c r="AF29" i="25"/>
  <c r="AB29" i="25"/>
  <c r="Y29" i="25"/>
  <c r="AE29" i="25" s="1"/>
  <c r="W29" i="25"/>
  <c r="U29" i="25"/>
  <c r="R29" i="25"/>
  <c r="L29" i="25"/>
  <c r="K29" i="25"/>
  <c r="AX28" i="25"/>
  <c r="AW28" i="25"/>
  <c r="AK29" i="25" s="1"/>
  <c r="AR27" i="25"/>
  <c r="AG27" i="25"/>
  <c r="AF27" i="25"/>
  <c r="AB27" i="25"/>
  <c r="Y27" i="25"/>
  <c r="AE27" i="25" s="1"/>
  <c r="W27" i="25"/>
  <c r="U27" i="25"/>
  <c r="R27" i="25"/>
  <c r="L27" i="25"/>
  <c r="K27" i="25"/>
  <c r="AX26" i="25"/>
  <c r="AC27" i="25" s="1"/>
  <c r="AD27" i="25" s="1"/>
  <c r="AW26" i="25"/>
  <c r="AG25" i="25"/>
  <c r="AF25" i="25"/>
  <c r="AA25" i="25"/>
  <c r="AB25" i="25" s="1"/>
  <c r="W25" i="25"/>
  <c r="U25" i="25"/>
  <c r="R25" i="25"/>
  <c r="L25" i="25"/>
  <c r="K25" i="25"/>
  <c r="AX24" i="25"/>
  <c r="AW24" i="25"/>
  <c r="AV24" i="25"/>
  <c r="AL25" i="25" s="1"/>
  <c r="AT23" i="25"/>
  <c r="AS23" i="25"/>
  <c r="AR23" i="25"/>
  <c r="AQ23" i="25"/>
  <c r="AP23" i="25"/>
  <c r="AO23" i="25"/>
  <c r="AN23" i="25"/>
  <c r="AM23" i="25"/>
  <c r="AL23" i="25"/>
  <c r="AK23" i="25"/>
  <c r="AJ23" i="25"/>
  <c r="AI23" i="25"/>
  <c r="AG23" i="25"/>
  <c r="AF23" i="25"/>
  <c r="AC23" i="25"/>
  <c r="AD23" i="25" s="1"/>
  <c r="AB23" i="25"/>
  <c r="Y23" i="25"/>
  <c r="AE23" i="25" s="1"/>
  <c r="W23" i="25"/>
  <c r="U23" i="25"/>
  <c r="R23" i="25"/>
  <c r="L23" i="25"/>
  <c r="K23" i="25"/>
  <c r="AP21" i="25"/>
  <c r="AG21" i="25"/>
  <c r="AF21" i="25"/>
  <c r="AB21" i="25"/>
  <c r="W21" i="25"/>
  <c r="U21" i="25"/>
  <c r="R21" i="25"/>
  <c r="L21" i="25"/>
  <c r="K21" i="25"/>
  <c r="AX20" i="25"/>
  <c r="AW20" i="25"/>
  <c r="AV20" i="25"/>
  <c r="AG19" i="25"/>
  <c r="AF19" i="25"/>
  <c r="AB19" i="25"/>
  <c r="W19" i="25"/>
  <c r="U19" i="25"/>
  <c r="R19" i="25"/>
  <c r="L19" i="25"/>
  <c r="K19" i="25"/>
  <c r="AX18" i="25"/>
  <c r="AW18" i="25"/>
  <c r="AV18" i="25"/>
  <c r="AN17" i="25"/>
  <c r="AG17" i="25"/>
  <c r="AF17" i="25"/>
  <c r="AA17" i="25"/>
  <c r="AB17" i="25" s="1"/>
  <c r="W17" i="25"/>
  <c r="U17" i="25"/>
  <c r="R17" i="25"/>
  <c r="L17" i="25"/>
  <c r="K17" i="25"/>
  <c r="AX16" i="25"/>
  <c r="AW16" i="25"/>
  <c r="AV16" i="25"/>
  <c r="AG15" i="25"/>
  <c r="AF15" i="25"/>
  <c r="AB15" i="25"/>
  <c r="Y15" i="25"/>
  <c r="AE15" i="25" s="1"/>
  <c r="W15" i="25"/>
  <c r="U15" i="25"/>
  <c r="R15" i="25"/>
  <c r="L15" i="25"/>
  <c r="K15" i="25"/>
  <c r="AX14" i="25"/>
  <c r="AW14" i="25"/>
  <c r="AT13" i="25"/>
  <c r="AS13" i="25"/>
  <c r="AR13" i="25"/>
  <c r="AQ13" i="25"/>
  <c r="AP13" i="25"/>
  <c r="AO13" i="25"/>
  <c r="AN13" i="25"/>
  <c r="AM13" i="25"/>
  <c r="AL13" i="25"/>
  <c r="AK13" i="25"/>
  <c r="AJ13" i="25"/>
  <c r="AI13" i="25"/>
  <c r="AG13" i="25"/>
  <c r="AF13" i="25"/>
  <c r="AC13" i="25"/>
  <c r="AD13" i="25" s="1"/>
  <c r="AB13" i="25"/>
  <c r="Y13" i="25"/>
  <c r="AE13" i="25" s="1"/>
  <c r="W13" i="25"/>
  <c r="U13" i="25"/>
  <c r="R13" i="25"/>
  <c r="L13" i="25"/>
  <c r="K13" i="25"/>
  <c r="AT11" i="25"/>
  <c r="AS11" i="25"/>
  <c r="AR11" i="25"/>
  <c r="AQ11" i="25"/>
  <c r="AP11" i="25"/>
  <c r="AO11" i="25"/>
  <c r="AN11" i="25"/>
  <c r="AM11" i="25"/>
  <c r="AL11" i="25"/>
  <c r="AK11" i="25"/>
  <c r="AJ11" i="25"/>
  <c r="AI11" i="25"/>
  <c r="AG11" i="25"/>
  <c r="AF11" i="25"/>
  <c r="AC11" i="25"/>
  <c r="AD11" i="25" s="1"/>
  <c r="AB11" i="25"/>
  <c r="Y11" i="25"/>
  <c r="AE11" i="25" s="1"/>
  <c r="W11" i="25"/>
  <c r="U11" i="25"/>
  <c r="R11" i="25"/>
  <c r="L11" i="25"/>
  <c r="K11" i="25"/>
  <c r="AT9" i="25"/>
  <c r="AS9" i="25"/>
  <c r="AR9" i="25"/>
  <c r="AQ9" i="25"/>
  <c r="AP9" i="25"/>
  <c r="AO9" i="25"/>
  <c r="AN9" i="25"/>
  <c r="AM9" i="25"/>
  <c r="AL9" i="25"/>
  <c r="AK9" i="25"/>
  <c r="AJ9" i="25"/>
  <c r="AI9" i="25"/>
  <c r="AG9" i="25"/>
  <c r="AF9" i="25"/>
  <c r="AC9" i="25"/>
  <c r="AD9" i="25" s="1"/>
  <c r="AB9" i="25"/>
  <c r="Y9" i="25"/>
  <c r="AE9" i="25" s="1"/>
  <c r="W9" i="25"/>
  <c r="U9" i="25"/>
  <c r="R9" i="25"/>
  <c r="L9" i="25"/>
  <c r="K9" i="25"/>
  <c r="AR7" i="25"/>
  <c r="AG7" i="25"/>
  <c r="AF7" i="25"/>
  <c r="AA7" i="25"/>
  <c r="Y7" i="25"/>
  <c r="W7" i="25"/>
  <c r="U7" i="25"/>
  <c r="R7" i="25"/>
  <c r="L7" i="25"/>
  <c r="K7" i="25"/>
  <c r="AX6" i="25"/>
  <c r="AW6" i="25"/>
  <c r="AI7" i="25" s="1"/>
  <c r="AM5" i="25"/>
  <c r="AI5" i="25"/>
  <c r="AG5" i="25"/>
  <c r="AF5" i="25"/>
  <c r="AA5" i="25"/>
  <c r="AB5" i="25" s="1"/>
  <c r="Y5" i="25"/>
  <c r="AE5" i="25" s="1"/>
  <c r="W5" i="25"/>
  <c r="U5" i="25"/>
  <c r="R5" i="25"/>
  <c r="K5" i="25"/>
  <c r="AX4" i="25"/>
  <c r="AW4" i="25"/>
  <c r="AV4" i="25"/>
  <c r="AG3" i="25"/>
  <c r="AF3" i="25"/>
  <c r="AA3" i="25"/>
  <c r="W3" i="25"/>
  <c r="U3" i="25"/>
  <c r="R3" i="25"/>
  <c r="K3" i="25"/>
  <c r="AX2" i="25"/>
  <c r="AW2" i="25"/>
  <c r="AV2" i="25"/>
  <c r="AJ3" i="25" s="1"/>
  <c r="AT45" i="23"/>
  <c r="AS45" i="23"/>
  <c r="AR45" i="23"/>
  <c r="AQ45" i="23"/>
  <c r="AP45" i="23"/>
  <c r="AO45" i="23"/>
  <c r="AN45" i="23"/>
  <c r="AM45" i="23"/>
  <c r="AL45" i="23"/>
  <c r="AK45" i="23"/>
  <c r="AJ45" i="23"/>
  <c r="AI45" i="23"/>
  <c r="AG45" i="23"/>
  <c r="AF45" i="23"/>
  <c r="AC45" i="23"/>
  <c r="AD45" i="23" s="1"/>
  <c r="AA45" i="23"/>
  <c r="AB45" i="23" s="1"/>
  <c r="Y45" i="23"/>
  <c r="W45" i="23"/>
  <c r="U45" i="23"/>
  <c r="R45" i="23"/>
  <c r="L45" i="23"/>
  <c r="K45" i="23"/>
  <c r="AT43" i="23"/>
  <c r="AS43" i="23"/>
  <c r="AR43" i="23"/>
  <c r="AQ43" i="23"/>
  <c r="AP43" i="23"/>
  <c r="AO43" i="23"/>
  <c r="AN43" i="23"/>
  <c r="AM43" i="23"/>
  <c r="AL43" i="23"/>
  <c r="AK43" i="23"/>
  <c r="AJ43" i="23"/>
  <c r="AI43" i="23"/>
  <c r="AG43" i="23"/>
  <c r="AF43" i="23"/>
  <c r="AC43" i="23"/>
  <c r="AD43" i="23" s="1"/>
  <c r="AA43" i="23"/>
  <c r="AB43" i="23" s="1"/>
  <c r="Y43" i="23"/>
  <c r="W43" i="23"/>
  <c r="U43" i="23"/>
  <c r="R43" i="23"/>
  <c r="L43" i="23"/>
  <c r="K43" i="23"/>
  <c r="AT41" i="23"/>
  <c r="AS41" i="23"/>
  <c r="AR41" i="23"/>
  <c r="AQ41" i="23"/>
  <c r="AP41" i="23"/>
  <c r="AO41" i="23"/>
  <c r="AN41" i="23"/>
  <c r="AM41" i="23"/>
  <c r="AL41" i="23"/>
  <c r="AK41" i="23"/>
  <c r="AJ41" i="23"/>
  <c r="AI41" i="23"/>
  <c r="AG41" i="23"/>
  <c r="AF41" i="23"/>
  <c r="AC41" i="23"/>
  <c r="AD41" i="23" s="1"/>
  <c r="AA41" i="23"/>
  <c r="Y41" i="23"/>
  <c r="W41" i="23"/>
  <c r="U41" i="23"/>
  <c r="R41" i="23"/>
  <c r="L41" i="23"/>
  <c r="K41" i="23"/>
  <c r="AT39" i="23"/>
  <c r="AS39" i="23"/>
  <c r="AR39" i="23"/>
  <c r="AQ39" i="23"/>
  <c r="AP39" i="23"/>
  <c r="AO39" i="23"/>
  <c r="AN39" i="23"/>
  <c r="AM39" i="23"/>
  <c r="AL39" i="23"/>
  <c r="AK39" i="23"/>
  <c r="AJ39" i="23"/>
  <c r="AI39" i="23"/>
  <c r="AG39" i="23"/>
  <c r="AF39" i="23"/>
  <c r="AC39" i="23"/>
  <c r="AD39" i="23" s="1"/>
  <c r="AA39" i="23"/>
  <c r="AB39" i="23" s="1"/>
  <c r="Y39" i="23"/>
  <c r="W39" i="23"/>
  <c r="U39" i="23"/>
  <c r="R39" i="23"/>
  <c r="L39" i="23"/>
  <c r="K39" i="23"/>
  <c r="AG37" i="23"/>
  <c r="AF37" i="23"/>
  <c r="AB37" i="23"/>
  <c r="W37" i="23"/>
  <c r="U37" i="23"/>
  <c r="R37" i="23"/>
  <c r="L37" i="23"/>
  <c r="K37" i="23"/>
  <c r="BJ36" i="23"/>
  <c r="BI36" i="23"/>
  <c r="BH36" i="23"/>
  <c r="BG36" i="23"/>
  <c r="BF36" i="23"/>
  <c r="BE36" i="23"/>
  <c r="BD36" i="23"/>
  <c r="BC36" i="23"/>
  <c r="BB36" i="23"/>
  <c r="BA36" i="23"/>
  <c r="AZ36" i="23"/>
  <c r="AY36" i="23"/>
  <c r="AX36" i="23"/>
  <c r="AW36" i="23"/>
  <c r="AV36" i="23"/>
  <c r="AG35" i="23"/>
  <c r="AF35" i="23"/>
  <c r="AB35" i="23"/>
  <c r="W35" i="23"/>
  <c r="U35" i="23"/>
  <c r="R35" i="23"/>
  <c r="L35" i="23"/>
  <c r="K35" i="23"/>
  <c r="BJ34" i="23"/>
  <c r="BI34" i="23"/>
  <c r="BH34" i="23"/>
  <c r="BG34" i="23"/>
  <c r="BF34" i="23"/>
  <c r="BE34" i="23"/>
  <c r="BD34" i="23"/>
  <c r="BC34" i="23"/>
  <c r="BB34" i="23"/>
  <c r="BA34" i="23"/>
  <c r="AZ34" i="23"/>
  <c r="AY34" i="23"/>
  <c r="AX34" i="23"/>
  <c r="AW34" i="23"/>
  <c r="AV34" i="23"/>
  <c r="Y35" i="23" s="1"/>
  <c r="AE35" i="23" s="1"/>
  <c r="AG33" i="23"/>
  <c r="AF33" i="23"/>
  <c r="AB33" i="23"/>
  <c r="W33" i="23"/>
  <c r="U33" i="23"/>
  <c r="R33" i="23"/>
  <c r="L33" i="23"/>
  <c r="K33" i="23"/>
  <c r="BJ32" i="23"/>
  <c r="BI32" i="23"/>
  <c r="BH32" i="23"/>
  <c r="BG32" i="23"/>
  <c r="BF32" i="23"/>
  <c r="BE32" i="23"/>
  <c r="BD32" i="23"/>
  <c r="BC32" i="23"/>
  <c r="BB32" i="23"/>
  <c r="BA32" i="23"/>
  <c r="AZ32" i="23"/>
  <c r="AY32" i="23"/>
  <c r="AX32" i="23"/>
  <c r="AW32" i="23"/>
  <c r="AV32" i="23"/>
  <c r="Y33" i="23" s="1"/>
  <c r="AE33" i="23" s="1"/>
  <c r="AG31" i="23"/>
  <c r="AF31" i="23"/>
  <c r="AB31" i="23"/>
  <c r="Y31" i="23"/>
  <c r="AE31" i="23" s="1"/>
  <c r="W31" i="23"/>
  <c r="U31" i="23"/>
  <c r="R31" i="23"/>
  <c r="L31" i="23"/>
  <c r="K31" i="23"/>
  <c r="AX30" i="23"/>
  <c r="AW30" i="23"/>
  <c r="AG29" i="23"/>
  <c r="AF29" i="23"/>
  <c r="AB29" i="23"/>
  <c r="Y29" i="23"/>
  <c r="AE29" i="23" s="1"/>
  <c r="W29" i="23"/>
  <c r="U29" i="23"/>
  <c r="R29" i="23"/>
  <c r="L29" i="23"/>
  <c r="K29" i="23"/>
  <c r="AX28" i="23"/>
  <c r="AW28" i="23"/>
  <c r="AG27" i="23"/>
  <c r="AF27" i="23"/>
  <c r="AB27" i="23"/>
  <c r="Y27" i="23"/>
  <c r="AE27" i="23" s="1"/>
  <c r="W27" i="23"/>
  <c r="U27" i="23"/>
  <c r="R27" i="23"/>
  <c r="L27" i="23"/>
  <c r="K27" i="23"/>
  <c r="AX26" i="23"/>
  <c r="AW26" i="23"/>
  <c r="AG25" i="23"/>
  <c r="AF25" i="23"/>
  <c r="AA25" i="23"/>
  <c r="AB25" i="23" s="1"/>
  <c r="W25" i="23"/>
  <c r="U25" i="23"/>
  <c r="R25" i="23"/>
  <c r="L25" i="23"/>
  <c r="K25" i="23"/>
  <c r="AX24" i="23"/>
  <c r="AW24" i="23"/>
  <c r="AV24" i="23"/>
  <c r="AT23" i="23"/>
  <c r="AS23" i="23"/>
  <c r="AR23" i="23"/>
  <c r="AQ23" i="23"/>
  <c r="AP23" i="23"/>
  <c r="AO23" i="23"/>
  <c r="AN23" i="23"/>
  <c r="AM23" i="23"/>
  <c r="AL23" i="23"/>
  <c r="AK23" i="23"/>
  <c r="AJ23" i="23"/>
  <c r="AI23" i="23"/>
  <c r="AG23" i="23"/>
  <c r="AF23" i="23"/>
  <c r="AC23" i="23"/>
  <c r="AD23" i="23" s="1"/>
  <c r="AB23" i="23"/>
  <c r="Y23" i="23"/>
  <c r="AE23" i="23" s="1"/>
  <c r="W23" i="23"/>
  <c r="U23" i="23"/>
  <c r="R23" i="23"/>
  <c r="L23" i="23"/>
  <c r="K23" i="23"/>
  <c r="AG21" i="23"/>
  <c r="AF21" i="23"/>
  <c r="AB21" i="23"/>
  <c r="W21" i="23"/>
  <c r="U21" i="23"/>
  <c r="R21" i="23"/>
  <c r="L21" i="23"/>
  <c r="K21" i="23"/>
  <c r="AX20" i="23"/>
  <c r="AW20" i="23"/>
  <c r="AV20" i="23"/>
  <c r="AG19" i="23"/>
  <c r="AF19" i="23"/>
  <c r="AB19" i="23"/>
  <c r="W19" i="23"/>
  <c r="U19" i="23"/>
  <c r="R19" i="23"/>
  <c r="L19" i="23"/>
  <c r="K19" i="23"/>
  <c r="AX18" i="23"/>
  <c r="AW18" i="23"/>
  <c r="AV18" i="23"/>
  <c r="AG17" i="23"/>
  <c r="AF17" i="23"/>
  <c r="AA17" i="23"/>
  <c r="W17" i="23"/>
  <c r="U17" i="23"/>
  <c r="R17" i="23"/>
  <c r="L17" i="23"/>
  <c r="K17" i="23"/>
  <c r="AX16" i="23"/>
  <c r="AW16" i="23"/>
  <c r="AV16" i="23"/>
  <c r="AG15" i="23"/>
  <c r="AF15" i="23"/>
  <c r="AB15" i="23"/>
  <c r="Y15" i="23"/>
  <c r="AE15" i="23" s="1"/>
  <c r="W15" i="23"/>
  <c r="U15" i="23"/>
  <c r="R15" i="23"/>
  <c r="L15" i="23"/>
  <c r="K15" i="23"/>
  <c r="AX14" i="23"/>
  <c r="AW14" i="23"/>
  <c r="AT13" i="23"/>
  <c r="AS13" i="23"/>
  <c r="AR13" i="23"/>
  <c r="AQ13" i="23"/>
  <c r="AP13" i="23"/>
  <c r="AO13" i="23"/>
  <c r="AN13" i="23"/>
  <c r="AM13" i="23"/>
  <c r="AL13" i="23"/>
  <c r="AK13" i="23"/>
  <c r="AJ13" i="23"/>
  <c r="AI13" i="23"/>
  <c r="AG13" i="23"/>
  <c r="AF13" i="23"/>
  <c r="AC13" i="23"/>
  <c r="AD13" i="23" s="1"/>
  <c r="AB13" i="23"/>
  <c r="Y13" i="23"/>
  <c r="AE13" i="23" s="1"/>
  <c r="W13" i="23"/>
  <c r="U13" i="23"/>
  <c r="R13" i="23"/>
  <c r="L13" i="23"/>
  <c r="K13" i="23"/>
  <c r="AT11" i="23"/>
  <c r="AS11" i="23"/>
  <c r="AR11" i="23"/>
  <c r="AQ11" i="23"/>
  <c r="AP11" i="23"/>
  <c r="AO11" i="23"/>
  <c r="AN11" i="23"/>
  <c r="AM11" i="23"/>
  <c r="AL11" i="23"/>
  <c r="AK11" i="23"/>
  <c r="AJ11" i="23"/>
  <c r="AI11" i="23"/>
  <c r="AG11" i="23"/>
  <c r="AF11" i="23"/>
  <c r="AC11" i="23"/>
  <c r="AD11" i="23" s="1"/>
  <c r="AB11" i="23"/>
  <c r="Y11" i="23"/>
  <c r="AE11" i="23" s="1"/>
  <c r="W11" i="23"/>
  <c r="U11" i="23"/>
  <c r="R11" i="23"/>
  <c r="L11" i="23"/>
  <c r="K11" i="23"/>
  <c r="AT9" i="23"/>
  <c r="AS9" i="23"/>
  <c r="AR9" i="23"/>
  <c r="AQ9" i="23"/>
  <c r="AP9" i="23"/>
  <c r="AO9" i="23"/>
  <c r="AN9" i="23"/>
  <c r="AM9" i="23"/>
  <c r="AL9" i="23"/>
  <c r="AK9" i="23"/>
  <c r="AJ9" i="23"/>
  <c r="AI9" i="23"/>
  <c r="AG9" i="23"/>
  <c r="AF9" i="23"/>
  <c r="AC9" i="23"/>
  <c r="AD9" i="23" s="1"/>
  <c r="AB9" i="23"/>
  <c r="Y9" i="23"/>
  <c r="AE9" i="23" s="1"/>
  <c r="W9" i="23"/>
  <c r="U9" i="23"/>
  <c r="R9" i="23"/>
  <c r="L9" i="23"/>
  <c r="K9" i="23"/>
  <c r="AG7" i="23"/>
  <c r="AF7" i="23"/>
  <c r="AA7" i="23"/>
  <c r="Y7" i="23"/>
  <c r="W7" i="23"/>
  <c r="U7" i="23"/>
  <c r="R7" i="23"/>
  <c r="L7" i="23"/>
  <c r="K7" i="23"/>
  <c r="AX6" i="23"/>
  <c r="AW6" i="23"/>
  <c r="AG5" i="23"/>
  <c r="AF5" i="23"/>
  <c r="AA5" i="23"/>
  <c r="AB5" i="23" s="1"/>
  <c r="W5" i="23"/>
  <c r="U5" i="23"/>
  <c r="R5" i="23"/>
  <c r="K5" i="23"/>
  <c r="AX4" i="23"/>
  <c r="AW4" i="23"/>
  <c r="AV4" i="23"/>
  <c r="Y5" i="23" s="1"/>
  <c r="AG3" i="23"/>
  <c r="AF3" i="23"/>
  <c r="AA3" i="23"/>
  <c r="AB3" i="23" s="1"/>
  <c r="W3" i="23"/>
  <c r="U3" i="23"/>
  <c r="R3" i="23"/>
  <c r="K3" i="23"/>
  <c r="AX2" i="23"/>
  <c r="AW2" i="23"/>
  <c r="AV2" i="23"/>
  <c r="Y3" i="23" s="1"/>
  <c r="AK15" i="25" l="1"/>
  <c r="AC29" i="25"/>
  <c r="AD29" i="25" s="1"/>
  <c r="AJ29" i="25"/>
  <c r="AB43" i="25"/>
  <c r="AJ7" i="25"/>
  <c r="AC17" i="25"/>
  <c r="AD17" i="25" s="1"/>
  <c r="AJ27" i="25"/>
  <c r="AI19" i="25"/>
  <c r="AK31" i="25"/>
  <c r="AC33" i="25"/>
  <c r="AD33" i="25" s="1"/>
  <c r="AC35" i="25"/>
  <c r="AD35" i="25" s="1"/>
  <c r="AE45" i="25"/>
  <c r="AI33" i="25"/>
  <c r="AE7" i="25"/>
  <c r="AC15" i="25"/>
  <c r="AD15" i="25" s="1"/>
  <c r="AJ21" i="25"/>
  <c r="AJ35" i="25"/>
  <c r="AJ37" i="25"/>
  <c r="AC5" i="25"/>
  <c r="AD5" i="25" s="1"/>
  <c r="AK37" i="25"/>
  <c r="AJ15" i="25"/>
  <c r="AI27" i="25"/>
  <c r="AJ31" i="25"/>
  <c r="Y35" i="25"/>
  <c r="AE35" i="25" s="1"/>
  <c r="Y37" i="25"/>
  <c r="AE37" i="25" s="1"/>
  <c r="AE41" i="25"/>
  <c r="AK25" i="25"/>
  <c r="AC25" i="25"/>
  <c r="AD25" i="25" s="1"/>
  <c r="AE39" i="25"/>
  <c r="AI37" i="25"/>
  <c r="Y3" i="25"/>
  <c r="AE3" i="25" s="1"/>
  <c r="AI3" i="25"/>
  <c r="AB7" i="25"/>
  <c r="AK7" i="25"/>
  <c r="AI15" i="25"/>
  <c r="AC19" i="25"/>
  <c r="AD19" i="25" s="1"/>
  <c r="AI21" i="25"/>
  <c r="AK27" i="25"/>
  <c r="AI29" i="25"/>
  <c r="AI35" i="25"/>
  <c r="AB3" i="25"/>
  <c r="AK3" i="25"/>
  <c r="AS3" i="25"/>
  <c r="AP5" i="25"/>
  <c r="Y17" i="25"/>
  <c r="AE17" i="25" s="1"/>
  <c r="AI17" i="25"/>
  <c r="AN19" i="25"/>
  <c r="AK21" i="25"/>
  <c r="AS21" i="25"/>
  <c r="AO25" i="25"/>
  <c r="AI31" i="25"/>
  <c r="Y33" i="25"/>
  <c r="AE33" i="25" s="1"/>
  <c r="AJ33" i="25"/>
  <c r="AR33" i="25"/>
  <c r="AK35" i="25"/>
  <c r="AS35" i="25"/>
  <c r="AC37" i="25"/>
  <c r="AD37" i="25" s="1"/>
  <c r="AL37" i="25"/>
  <c r="AT37" i="25"/>
  <c r="AB39" i="25"/>
  <c r="AJ17" i="25"/>
  <c r="AC21" i="25"/>
  <c r="AD21" i="25" s="1"/>
  <c r="AK33" i="25"/>
  <c r="AM37" i="25"/>
  <c r="AK19" i="25"/>
  <c r="AC7" i="25"/>
  <c r="AD7" i="25" s="1"/>
  <c r="Y21" i="25"/>
  <c r="AE21" i="25" s="1"/>
  <c r="AC3" i="25"/>
  <c r="AD3" i="25" s="1"/>
  <c r="AJ5" i="25"/>
  <c r="AK17" i="25"/>
  <c r="AP19" i="25"/>
  <c r="Y25" i="25"/>
  <c r="AE25" i="25" s="1"/>
  <c r="AI25" i="25"/>
  <c r="AJ25" i="25"/>
  <c r="AK5" i="25"/>
  <c r="Y19" i="25"/>
  <c r="AE19" i="25" s="1"/>
  <c r="AJ19" i="25"/>
  <c r="AK29" i="23"/>
  <c r="AE5" i="23"/>
  <c r="AC15" i="23"/>
  <c r="AD15" i="23" s="1"/>
  <c r="AE41" i="23"/>
  <c r="AE39" i="23"/>
  <c r="AK17" i="23"/>
  <c r="AB41" i="23"/>
  <c r="AK15" i="23"/>
  <c r="AJ31" i="23"/>
  <c r="AK27" i="23"/>
  <c r="AE3" i="23"/>
  <c r="AE7" i="23"/>
  <c r="AK31" i="23"/>
  <c r="AE43" i="23"/>
  <c r="AI17" i="23"/>
  <c r="AI5" i="23"/>
  <c r="AI37" i="23"/>
  <c r="AJ19" i="23"/>
  <c r="AE45" i="23"/>
  <c r="AC33" i="23"/>
  <c r="AD33" i="23" s="1"/>
  <c r="AC7" i="23"/>
  <c r="AD7" i="23" s="1"/>
  <c r="AJ15" i="23"/>
  <c r="AC21" i="23"/>
  <c r="AD21" i="23" s="1"/>
  <c r="AC17" i="23"/>
  <c r="AD17" i="23" s="1"/>
  <c r="AK33" i="23"/>
  <c r="AK21" i="23"/>
  <c r="Y37" i="23"/>
  <c r="AE37" i="23" s="1"/>
  <c r="AK35" i="23"/>
  <c r="AI3" i="23"/>
  <c r="AI25" i="23"/>
  <c r="AC27" i="23"/>
  <c r="AD27" i="23" s="1"/>
  <c r="AC29" i="23"/>
  <c r="AD29" i="23" s="1"/>
  <c r="AC35" i="23"/>
  <c r="AD35" i="23" s="1"/>
  <c r="AC37" i="23"/>
  <c r="AD37" i="23" s="1"/>
  <c r="AC5" i="23"/>
  <c r="AD5" i="23" s="1"/>
  <c r="AI7" i="23"/>
  <c r="AP25" i="23"/>
  <c r="AI33" i="23"/>
  <c r="AJ7" i="23"/>
  <c r="AB7" i="23"/>
  <c r="AK7" i="23"/>
  <c r="AR25" i="23"/>
  <c r="AJ37" i="23"/>
  <c r="AI19" i="23"/>
  <c r="AS25" i="23"/>
  <c r="AK37" i="23"/>
  <c r="AK5" i="23"/>
  <c r="AJ3" i="23"/>
  <c r="AK3" i="23"/>
  <c r="AI15" i="23"/>
  <c r="AO17" i="23"/>
  <c r="AN17" i="23"/>
  <c r="Y17" i="23"/>
  <c r="AE17" i="23" s="1"/>
  <c r="AJ17" i="23"/>
  <c r="AT17" i="23"/>
  <c r="AI31" i="23"/>
  <c r="AC31" i="23"/>
  <c r="AD31" i="23" s="1"/>
  <c r="AI35" i="23"/>
  <c r="AN25" i="23"/>
  <c r="AM25" i="23"/>
  <c r="AT25" i="23"/>
  <c r="AL25" i="23"/>
  <c r="AC25" i="23"/>
  <c r="AD25" i="23" s="1"/>
  <c r="Y25" i="23"/>
  <c r="AE25" i="23" s="1"/>
  <c r="AC3" i="23"/>
  <c r="AD3" i="23" s="1"/>
  <c r="AT3" i="23"/>
  <c r="AT19" i="23"/>
  <c r="AL19" i="23"/>
  <c r="AC19" i="23"/>
  <c r="AD19" i="23" s="1"/>
  <c r="AK19" i="23"/>
  <c r="Y19" i="23"/>
  <c r="AE19" i="23" s="1"/>
  <c r="AJ25" i="23"/>
  <c r="AJ33" i="23"/>
  <c r="AJ35" i="23"/>
  <c r="AL3" i="23"/>
  <c r="AJ5" i="23"/>
  <c r="AB17" i="23"/>
  <c r="AK25" i="23"/>
  <c r="AP21" i="23"/>
  <c r="AI27" i="23"/>
  <c r="AI21" i="23"/>
  <c r="AQ21" i="23"/>
  <c r="AJ27" i="23"/>
  <c r="AP37" i="23"/>
  <c r="Y21" i="23"/>
  <c r="AE21" i="23" s="1"/>
  <c r="AJ21" i="23"/>
  <c r="AI29" i="23"/>
  <c r="AJ29" i="23"/>
  <c r="AG9" i="20" l="1"/>
  <c r="AF9" i="20"/>
  <c r="AB9" i="20"/>
  <c r="W9" i="20"/>
  <c r="U9" i="20"/>
  <c r="R9" i="20"/>
  <c r="L9" i="20"/>
  <c r="K9" i="20"/>
  <c r="AZ8" i="20"/>
  <c r="AY8" i="20"/>
  <c r="AX8" i="20"/>
  <c r="AW8" i="20"/>
  <c r="AV8" i="20"/>
  <c r="AT9" i="20" s="1"/>
  <c r="AG7" i="20"/>
  <c r="AF7" i="20"/>
  <c r="AB7" i="20"/>
  <c r="W7" i="20"/>
  <c r="U7" i="20"/>
  <c r="R7" i="20"/>
  <c r="L7" i="20"/>
  <c r="K7" i="20"/>
  <c r="BA6" i="20"/>
  <c r="AZ6" i="20"/>
  <c r="AY6" i="20"/>
  <c r="AX6" i="20"/>
  <c r="AW6" i="20"/>
  <c r="AV6" i="20"/>
  <c r="AO7" i="20" s="1"/>
  <c r="AJ5" i="20"/>
  <c r="AG5" i="20"/>
  <c r="AF5" i="20"/>
  <c r="AB5" i="20"/>
  <c r="W5" i="20"/>
  <c r="U5" i="20"/>
  <c r="R5" i="20"/>
  <c r="L5" i="20"/>
  <c r="K5" i="20"/>
  <c r="AZ4" i="20"/>
  <c r="AY4" i="20"/>
  <c r="AX4" i="20"/>
  <c r="AW4" i="20"/>
  <c r="AV4" i="20"/>
  <c r="AG3" i="20"/>
  <c r="AF3" i="20"/>
  <c r="AB3" i="20"/>
  <c r="W3" i="20"/>
  <c r="U3" i="20"/>
  <c r="R3" i="20"/>
  <c r="L3" i="20"/>
  <c r="K3" i="20"/>
  <c r="BB2" i="20"/>
  <c r="BA2" i="20"/>
  <c r="AZ2" i="20"/>
  <c r="AY2" i="20"/>
  <c r="AX2" i="20"/>
  <c r="AW2" i="20"/>
  <c r="AV2" i="20"/>
  <c r="AG23" i="19"/>
  <c r="AF23" i="19"/>
  <c r="AB23" i="19"/>
  <c r="W23" i="19"/>
  <c r="U23" i="19"/>
  <c r="R23" i="19"/>
  <c r="L23" i="19"/>
  <c r="K23" i="19"/>
  <c r="BG22" i="19"/>
  <c r="BF22" i="19"/>
  <c r="BE22" i="19"/>
  <c r="BD22" i="19"/>
  <c r="BC22" i="19"/>
  <c r="BB22" i="19"/>
  <c r="BA22" i="19"/>
  <c r="AZ22" i="19"/>
  <c r="AY22" i="19"/>
  <c r="AX22" i="19"/>
  <c r="AW22" i="19"/>
  <c r="AV22" i="19"/>
  <c r="AG21" i="19"/>
  <c r="AF21" i="19"/>
  <c r="AB21" i="19"/>
  <c r="W21" i="19"/>
  <c r="U21" i="19"/>
  <c r="R21" i="19"/>
  <c r="L21" i="19"/>
  <c r="K21" i="19"/>
  <c r="BG20" i="19"/>
  <c r="BF20" i="19"/>
  <c r="BE20" i="19"/>
  <c r="BD20" i="19"/>
  <c r="BC20" i="19"/>
  <c r="BB20" i="19"/>
  <c r="BA20" i="19"/>
  <c r="AZ20" i="19"/>
  <c r="AY20" i="19"/>
  <c r="AX20" i="19"/>
  <c r="AW20" i="19"/>
  <c r="AV20" i="19"/>
  <c r="AG19" i="19"/>
  <c r="AF19" i="19"/>
  <c r="AB19" i="19"/>
  <c r="W19" i="19"/>
  <c r="U19" i="19"/>
  <c r="R19" i="19"/>
  <c r="L19" i="19"/>
  <c r="K19" i="19"/>
  <c r="BG18" i="19"/>
  <c r="BF18" i="19"/>
  <c r="BE18" i="19"/>
  <c r="BD18" i="19"/>
  <c r="BC18" i="19"/>
  <c r="BB18" i="19"/>
  <c r="BA18" i="19"/>
  <c r="AZ18" i="19"/>
  <c r="AY18" i="19"/>
  <c r="AX18" i="19"/>
  <c r="AW18" i="19"/>
  <c r="AV18" i="19"/>
  <c r="Y19" i="19" s="1"/>
  <c r="AE19" i="19" s="1"/>
  <c r="AG17" i="19"/>
  <c r="AF17" i="19"/>
  <c r="AB17" i="19"/>
  <c r="W17" i="19"/>
  <c r="U17" i="19"/>
  <c r="R17" i="19"/>
  <c r="L17" i="19"/>
  <c r="K17" i="19"/>
  <c r="BG16" i="19"/>
  <c r="BF16" i="19"/>
  <c r="BE16" i="19"/>
  <c r="BD16" i="19"/>
  <c r="BC16" i="19"/>
  <c r="BB16" i="19"/>
  <c r="BA16" i="19"/>
  <c r="AZ16" i="19"/>
  <c r="AY16" i="19"/>
  <c r="AX16" i="19"/>
  <c r="AW16" i="19"/>
  <c r="AV16" i="19"/>
  <c r="AG15" i="19"/>
  <c r="AF15" i="19"/>
  <c r="AB15" i="19"/>
  <c r="W15" i="19"/>
  <c r="U15" i="19"/>
  <c r="R15" i="19"/>
  <c r="L15" i="19"/>
  <c r="K15" i="19"/>
  <c r="BC14" i="19"/>
  <c r="BB14" i="19"/>
  <c r="BA14" i="19"/>
  <c r="AZ14" i="19"/>
  <c r="AY14" i="19"/>
  <c r="AX14" i="19"/>
  <c r="AW14" i="19"/>
  <c r="AV14" i="19"/>
  <c r="AG13" i="19"/>
  <c r="AF13" i="19"/>
  <c r="AB13" i="19"/>
  <c r="W13" i="19"/>
  <c r="U13" i="19"/>
  <c r="R13" i="19"/>
  <c r="L13" i="19"/>
  <c r="K13" i="19"/>
  <c r="BC12" i="19"/>
  <c r="BB12" i="19"/>
  <c r="BA12" i="19"/>
  <c r="AZ12" i="19"/>
  <c r="AY12" i="19"/>
  <c r="AX12" i="19"/>
  <c r="AW12" i="19"/>
  <c r="AV12" i="19"/>
  <c r="AG11" i="19"/>
  <c r="AF11" i="19"/>
  <c r="AB11" i="19"/>
  <c r="W11" i="19"/>
  <c r="U11" i="19"/>
  <c r="R11" i="19"/>
  <c r="L11" i="19"/>
  <c r="K11" i="19"/>
  <c r="BC10" i="19"/>
  <c r="BB10" i="19"/>
  <c r="BA10" i="19"/>
  <c r="AZ10" i="19"/>
  <c r="AY10" i="19"/>
  <c r="AX10" i="19"/>
  <c r="AW10" i="19"/>
  <c r="AV10" i="19"/>
  <c r="AG9" i="19"/>
  <c r="AF9" i="19"/>
  <c r="AB9" i="19"/>
  <c r="W9" i="19"/>
  <c r="U9" i="19"/>
  <c r="R9" i="19"/>
  <c r="L9" i="19"/>
  <c r="K9" i="19"/>
  <c r="BC8" i="19"/>
  <c r="BB8" i="19"/>
  <c r="BA8" i="19"/>
  <c r="AZ8" i="19"/>
  <c r="AY8" i="19"/>
  <c r="AX8" i="19"/>
  <c r="AW8" i="19"/>
  <c r="AV8" i="19"/>
  <c r="AG7" i="19"/>
  <c r="AF7" i="19"/>
  <c r="AB7" i="19"/>
  <c r="W7" i="19"/>
  <c r="U7" i="19"/>
  <c r="R7" i="19"/>
  <c r="L7" i="19"/>
  <c r="K7" i="19"/>
  <c r="BA6" i="19"/>
  <c r="AZ6" i="19"/>
  <c r="AY6" i="19"/>
  <c r="AX6" i="19"/>
  <c r="AW6" i="19"/>
  <c r="AV6" i="19"/>
  <c r="AQ7" i="19" s="1"/>
  <c r="AG5" i="19"/>
  <c r="AF5" i="19"/>
  <c r="AB5" i="19"/>
  <c r="W5" i="19"/>
  <c r="U5" i="19"/>
  <c r="R5" i="19"/>
  <c r="L5" i="19"/>
  <c r="K5" i="19"/>
  <c r="BA4" i="19"/>
  <c r="AZ4" i="19"/>
  <c r="AY4" i="19"/>
  <c r="AX4" i="19"/>
  <c r="AW4" i="19"/>
  <c r="AV4" i="19"/>
  <c r="AG3" i="19"/>
  <c r="AF3" i="19"/>
  <c r="AB3" i="19"/>
  <c r="Y3" i="19"/>
  <c r="AE3" i="19" s="1"/>
  <c r="W3" i="19"/>
  <c r="U3" i="19"/>
  <c r="R3" i="19"/>
  <c r="L3" i="19"/>
  <c r="K3" i="19"/>
  <c r="AX2" i="19"/>
  <c r="AW2" i="19"/>
  <c r="D31" i="18"/>
  <c r="B31" i="18"/>
  <c r="C31" i="18" s="1"/>
  <c r="A31" i="18"/>
  <c r="D29" i="18"/>
  <c r="B29" i="18"/>
  <c r="C29" i="18" s="1"/>
  <c r="A29" i="18"/>
  <c r="D27" i="18"/>
  <c r="B27" i="18"/>
  <c r="C27" i="18" s="1"/>
  <c r="A27" i="18"/>
  <c r="D25" i="18"/>
  <c r="B25" i="18"/>
  <c r="C25" i="18" s="1"/>
  <c r="A25" i="18"/>
  <c r="D23" i="18"/>
  <c r="C23" i="18"/>
  <c r="B23" i="18"/>
  <c r="A23" i="18"/>
  <c r="D21" i="18"/>
  <c r="B21" i="18"/>
  <c r="C21" i="18" s="1"/>
  <c r="A21" i="18"/>
  <c r="D19" i="18"/>
  <c r="B19" i="18"/>
  <c r="C19" i="18" s="1"/>
  <c r="A19" i="18"/>
  <c r="D17" i="18"/>
  <c r="B17" i="18"/>
  <c r="C17" i="18" s="1"/>
  <c r="A17" i="18"/>
  <c r="D15" i="18"/>
  <c r="B15" i="18"/>
  <c r="C15" i="18" s="1"/>
  <c r="A15" i="18"/>
  <c r="D13" i="18"/>
  <c r="B13" i="18"/>
  <c r="C13" i="18" s="1"/>
  <c r="A13" i="18"/>
  <c r="D11" i="18"/>
  <c r="B11" i="18"/>
  <c r="C11" i="18" s="1"/>
  <c r="A11" i="18"/>
  <c r="D9" i="18"/>
  <c r="B9" i="18"/>
  <c r="C9" i="18" s="1"/>
  <c r="A9" i="18"/>
  <c r="AG31" i="17"/>
  <c r="AF31" i="17"/>
  <c r="AB31" i="17"/>
  <c r="W31" i="17"/>
  <c r="U31" i="17"/>
  <c r="R31" i="17"/>
  <c r="L31" i="17"/>
  <c r="K31" i="17"/>
  <c r="BG30" i="17"/>
  <c r="BF30" i="17"/>
  <c r="BE30" i="17"/>
  <c r="BD30" i="17"/>
  <c r="BC30" i="17"/>
  <c r="BB30" i="17"/>
  <c r="BA30" i="17"/>
  <c r="AZ30" i="17"/>
  <c r="AY30" i="17"/>
  <c r="AX30" i="17"/>
  <c r="AW30" i="17"/>
  <c r="AV30" i="17"/>
  <c r="Y31" i="17" s="1"/>
  <c r="AE31" i="17" s="1"/>
  <c r="AG29" i="17"/>
  <c r="AF29" i="17"/>
  <c r="AB29" i="17"/>
  <c r="W29" i="17"/>
  <c r="U29" i="17"/>
  <c r="R29" i="17"/>
  <c r="L29" i="17"/>
  <c r="K29" i="17"/>
  <c r="BG28" i="17"/>
  <c r="BF28" i="17"/>
  <c r="BE28" i="17"/>
  <c r="BD28" i="17"/>
  <c r="BC28" i="17"/>
  <c r="BB28" i="17"/>
  <c r="BA28" i="17"/>
  <c r="AZ28" i="17"/>
  <c r="AY28" i="17"/>
  <c r="AX28" i="17"/>
  <c r="AW28" i="17"/>
  <c r="AV28" i="17"/>
  <c r="AG27" i="17"/>
  <c r="AF27" i="17"/>
  <c r="AB27" i="17"/>
  <c r="W27" i="17"/>
  <c r="U27" i="17"/>
  <c r="R27" i="17"/>
  <c r="L27" i="17"/>
  <c r="K27" i="17"/>
  <c r="BG26" i="17"/>
  <c r="BF26" i="17"/>
  <c r="BE26" i="17"/>
  <c r="BD26" i="17"/>
  <c r="BC26" i="17"/>
  <c r="BB26" i="17"/>
  <c r="BA26" i="17"/>
  <c r="AZ26" i="17"/>
  <c r="AY26" i="17"/>
  <c r="AX26" i="17"/>
  <c r="AW26" i="17"/>
  <c r="AV26" i="17"/>
  <c r="Y27" i="17" s="1"/>
  <c r="AE27" i="17" s="1"/>
  <c r="AG25" i="17"/>
  <c r="AF25" i="17"/>
  <c r="AB25" i="17"/>
  <c r="W25" i="17"/>
  <c r="U25" i="17"/>
  <c r="R25" i="17"/>
  <c r="L25" i="17"/>
  <c r="K25" i="17"/>
  <c r="BG24" i="17"/>
  <c r="BF24" i="17"/>
  <c r="BE24" i="17"/>
  <c r="BD24" i="17"/>
  <c r="BC24" i="17"/>
  <c r="BB24" i="17"/>
  <c r="BA24" i="17"/>
  <c r="AZ24" i="17"/>
  <c r="AY24" i="17"/>
  <c r="AX24" i="17"/>
  <c r="AW24" i="17"/>
  <c r="AV24" i="17"/>
  <c r="AG23" i="17"/>
  <c r="AF23" i="17"/>
  <c r="AB23" i="17"/>
  <c r="W23" i="17"/>
  <c r="U23" i="17"/>
  <c r="R23" i="17"/>
  <c r="L23" i="17"/>
  <c r="K23" i="17"/>
  <c r="AZ22" i="17"/>
  <c r="AY22" i="17"/>
  <c r="AX22" i="17"/>
  <c r="AW22" i="17"/>
  <c r="AV22" i="17"/>
  <c r="Y23" i="17" s="1"/>
  <c r="AE23" i="17" s="1"/>
  <c r="AG21" i="17"/>
  <c r="AF21" i="17"/>
  <c r="AB21" i="17"/>
  <c r="W21" i="17"/>
  <c r="U21" i="17"/>
  <c r="R21" i="17"/>
  <c r="L21" i="17"/>
  <c r="K21" i="17"/>
  <c r="BA20" i="17"/>
  <c r="AZ20" i="17"/>
  <c r="AY20" i="17"/>
  <c r="AX20" i="17"/>
  <c r="AW20" i="17"/>
  <c r="AV20" i="17"/>
  <c r="AG19" i="17"/>
  <c r="AF19" i="17"/>
  <c r="AB19" i="17"/>
  <c r="W19" i="17"/>
  <c r="U19" i="17"/>
  <c r="R19" i="17"/>
  <c r="L19" i="17"/>
  <c r="K19" i="17"/>
  <c r="AZ18" i="17"/>
  <c r="AY18" i="17"/>
  <c r="AX18" i="17"/>
  <c r="AW18" i="17"/>
  <c r="AV18" i="17"/>
  <c r="Y19" i="17" s="1"/>
  <c r="AE19" i="17" s="1"/>
  <c r="AG17" i="17"/>
  <c r="AF17" i="17"/>
  <c r="AB17" i="17"/>
  <c r="W17" i="17"/>
  <c r="U17" i="17"/>
  <c r="R17" i="17"/>
  <c r="L17" i="17"/>
  <c r="K17" i="17"/>
  <c r="BB16" i="17"/>
  <c r="BA16" i="17"/>
  <c r="AZ16" i="17"/>
  <c r="AY16" i="17"/>
  <c r="AX16" i="17"/>
  <c r="AW16" i="17"/>
  <c r="AV16" i="17"/>
  <c r="AG15" i="17"/>
  <c r="AF15" i="17"/>
  <c r="AB15" i="17"/>
  <c r="W15" i="17"/>
  <c r="U15" i="17"/>
  <c r="R15" i="17"/>
  <c r="L15" i="17"/>
  <c r="K15" i="17"/>
  <c r="BC14" i="17"/>
  <c r="BB14" i="17"/>
  <c r="BA14" i="17"/>
  <c r="AZ14" i="17"/>
  <c r="AY14" i="17"/>
  <c r="AX14" i="17"/>
  <c r="AW14" i="17"/>
  <c r="AV14" i="17"/>
  <c r="Y15" i="17" s="1"/>
  <c r="AE15" i="17" s="1"/>
  <c r="AG13" i="17"/>
  <c r="AF13" i="17"/>
  <c r="AB13" i="17"/>
  <c r="W13" i="17"/>
  <c r="U13" i="17"/>
  <c r="R13" i="17"/>
  <c r="L13" i="17"/>
  <c r="K13" i="17"/>
  <c r="BC12" i="17"/>
  <c r="BB12" i="17"/>
  <c r="BA12" i="17"/>
  <c r="AZ12" i="17"/>
  <c r="AY12" i="17"/>
  <c r="AX12" i="17"/>
  <c r="AW12" i="17"/>
  <c r="AV12" i="17"/>
  <c r="Y13" i="17" s="1"/>
  <c r="AE13" i="17" s="1"/>
  <c r="AG11" i="17"/>
  <c r="AF11" i="17"/>
  <c r="AB11" i="17"/>
  <c r="W11" i="17"/>
  <c r="U11" i="17"/>
  <c r="R11" i="17"/>
  <c r="L11" i="17"/>
  <c r="K11" i="17"/>
  <c r="BC10" i="17"/>
  <c r="BB10" i="17"/>
  <c r="BA10" i="17"/>
  <c r="AZ10" i="17"/>
  <c r="AY10" i="17"/>
  <c r="AX10" i="17"/>
  <c r="AW10" i="17"/>
  <c r="AV10" i="17"/>
  <c r="Y11" i="17" s="1"/>
  <c r="AE11" i="17" s="1"/>
  <c r="AG9" i="17"/>
  <c r="AF9" i="17"/>
  <c r="AB9" i="17"/>
  <c r="W9" i="17"/>
  <c r="U9" i="17"/>
  <c r="R9" i="17"/>
  <c r="L9" i="17"/>
  <c r="K9" i="17"/>
  <c r="BC8" i="17"/>
  <c r="BB8" i="17"/>
  <c r="BA8" i="17"/>
  <c r="AZ8" i="17"/>
  <c r="AY8" i="17"/>
  <c r="AX8" i="17"/>
  <c r="AW8" i="17"/>
  <c r="AV8" i="17"/>
  <c r="AG7" i="17"/>
  <c r="AF7" i="17"/>
  <c r="AB7" i="17"/>
  <c r="W7" i="17"/>
  <c r="U7" i="17"/>
  <c r="R7" i="17"/>
  <c r="L7" i="17"/>
  <c r="K7" i="17"/>
  <c r="BA6" i="17"/>
  <c r="AZ6" i="17"/>
  <c r="AY6" i="17"/>
  <c r="AX6" i="17"/>
  <c r="AW6" i="17"/>
  <c r="AV6" i="17"/>
  <c r="AG5" i="17"/>
  <c r="AF5" i="17"/>
  <c r="AB5" i="17"/>
  <c r="W5" i="17"/>
  <c r="U5" i="17"/>
  <c r="R5" i="17"/>
  <c r="L5" i="17"/>
  <c r="K5" i="17"/>
  <c r="BA4" i="17"/>
  <c r="AZ4" i="17"/>
  <c r="AY4" i="17"/>
  <c r="AX4" i="17"/>
  <c r="AW4" i="17"/>
  <c r="AV4" i="17"/>
  <c r="AG3" i="17"/>
  <c r="AF3" i="17"/>
  <c r="AB3" i="17"/>
  <c r="Y3" i="17"/>
  <c r="AE3" i="17" s="1"/>
  <c r="W3" i="17"/>
  <c r="U3" i="17"/>
  <c r="R3" i="17"/>
  <c r="L3" i="17"/>
  <c r="K3" i="17"/>
  <c r="AX2" i="17"/>
  <c r="AW2" i="17"/>
  <c r="X33" i="17"/>
  <c r="AT17" i="13"/>
  <c r="AS17" i="13"/>
  <c r="AR17" i="13"/>
  <c r="AQ17" i="13"/>
  <c r="AP17" i="13"/>
  <c r="AO17" i="13"/>
  <c r="AN17" i="13"/>
  <c r="AM17" i="13"/>
  <c r="AL17" i="13"/>
  <c r="AK17" i="13"/>
  <c r="AJ17" i="13"/>
  <c r="AI17" i="13"/>
  <c r="AG17" i="13"/>
  <c r="AF17" i="13"/>
  <c r="AC17" i="13"/>
  <c r="AD17" i="13" s="1"/>
  <c r="AB17" i="13"/>
  <c r="Y17" i="13"/>
  <c r="AE17" i="13" s="1"/>
  <c r="W17" i="13"/>
  <c r="U17" i="13"/>
  <c r="R17" i="13"/>
  <c r="L17" i="13"/>
  <c r="K17" i="13"/>
  <c r="AT15" i="13"/>
  <c r="AS15" i="13"/>
  <c r="AR15" i="13"/>
  <c r="AQ15" i="13"/>
  <c r="AP15" i="13"/>
  <c r="AO15" i="13"/>
  <c r="AN15" i="13"/>
  <c r="AM15" i="13"/>
  <c r="AL15" i="13"/>
  <c r="AK15" i="13"/>
  <c r="AJ15" i="13"/>
  <c r="AI15" i="13"/>
  <c r="AG15" i="13"/>
  <c r="AF15" i="13"/>
  <c r="AC15" i="13"/>
  <c r="AD15" i="13" s="1"/>
  <c r="AB15" i="13"/>
  <c r="Y15" i="13"/>
  <c r="AE15" i="13" s="1"/>
  <c r="W15" i="13"/>
  <c r="U15" i="13"/>
  <c r="R15" i="13"/>
  <c r="L15" i="13"/>
  <c r="K15" i="13"/>
  <c r="AT13" i="13"/>
  <c r="AS13" i="13"/>
  <c r="AR13" i="13"/>
  <c r="AQ13" i="13"/>
  <c r="AP13" i="13"/>
  <c r="AO13" i="13"/>
  <c r="AN13" i="13"/>
  <c r="AM13" i="13"/>
  <c r="AL13" i="13"/>
  <c r="AK13" i="13"/>
  <c r="AJ13" i="13"/>
  <c r="AI13" i="13"/>
  <c r="AG13" i="13"/>
  <c r="AF13" i="13"/>
  <c r="AD13" i="13"/>
  <c r="AC13" i="13"/>
  <c r="AB13" i="13"/>
  <c r="Y13" i="13"/>
  <c r="AE13" i="13" s="1"/>
  <c r="W13" i="13"/>
  <c r="U13" i="13"/>
  <c r="R13" i="13"/>
  <c r="L13" i="13"/>
  <c r="K13" i="13"/>
  <c r="AT11" i="13"/>
  <c r="AS11" i="13"/>
  <c r="AR11" i="13"/>
  <c r="AQ11" i="13"/>
  <c r="AP11" i="13"/>
  <c r="AO11" i="13"/>
  <c r="AN11" i="13"/>
  <c r="AM11" i="13"/>
  <c r="AL11" i="13"/>
  <c r="AK11" i="13"/>
  <c r="AJ11" i="13"/>
  <c r="AI11" i="13"/>
  <c r="AG11" i="13"/>
  <c r="AF11" i="13"/>
  <c r="AC11" i="13"/>
  <c r="AD11" i="13" s="1"/>
  <c r="AB11" i="13"/>
  <c r="Y11" i="13"/>
  <c r="AE11" i="13" s="1"/>
  <c r="W11" i="13"/>
  <c r="U11" i="13"/>
  <c r="R11" i="13"/>
  <c r="L11" i="13"/>
  <c r="K11" i="13"/>
  <c r="AT9" i="13"/>
  <c r="AS9" i="13"/>
  <c r="AR9" i="13"/>
  <c r="AQ9" i="13"/>
  <c r="AP9" i="13"/>
  <c r="AO9" i="13"/>
  <c r="AN9" i="13"/>
  <c r="AM9" i="13"/>
  <c r="AL9" i="13"/>
  <c r="AK9" i="13"/>
  <c r="AJ9" i="13"/>
  <c r="AI9" i="13"/>
  <c r="AG9" i="13"/>
  <c r="AF9" i="13"/>
  <c r="AD9" i="13"/>
  <c r="AC9" i="13"/>
  <c r="AB9" i="13"/>
  <c r="Y9" i="13"/>
  <c r="AE9" i="13" s="1"/>
  <c r="W9" i="13"/>
  <c r="U9" i="13"/>
  <c r="R9" i="13"/>
  <c r="L9" i="13"/>
  <c r="K9" i="13"/>
  <c r="AT7" i="13"/>
  <c r="AS7" i="13"/>
  <c r="AR7" i="13"/>
  <c r="AQ7" i="13"/>
  <c r="AP7" i="13"/>
  <c r="AO7" i="13"/>
  <c r="AN7" i="13"/>
  <c r="AM7" i="13"/>
  <c r="AL7" i="13"/>
  <c r="AK7" i="13"/>
  <c r="AJ7" i="13"/>
  <c r="AI7" i="13"/>
  <c r="AG7" i="13"/>
  <c r="AF7" i="13"/>
  <c r="AC7" i="13"/>
  <c r="AD7" i="13" s="1"/>
  <c r="AB7" i="13"/>
  <c r="Y7" i="13"/>
  <c r="AE7" i="13" s="1"/>
  <c r="W7" i="13"/>
  <c r="U7" i="13"/>
  <c r="R7" i="13"/>
  <c r="L7" i="13"/>
  <c r="K7" i="13"/>
  <c r="AT5" i="13"/>
  <c r="AS5" i="13"/>
  <c r="AR5" i="13"/>
  <c r="AQ5" i="13"/>
  <c r="AP5" i="13"/>
  <c r="AO5" i="13"/>
  <c r="AN5" i="13"/>
  <c r="AM5" i="13"/>
  <c r="AL5" i="13"/>
  <c r="AK5" i="13"/>
  <c r="AJ5" i="13"/>
  <c r="AI5" i="13"/>
  <c r="AG5" i="13"/>
  <c r="AF5" i="13"/>
  <c r="AC5" i="13"/>
  <c r="AD5" i="13" s="1"/>
  <c r="AB5" i="13"/>
  <c r="Y5" i="13"/>
  <c r="AE5" i="13" s="1"/>
  <c r="W5" i="13"/>
  <c r="U5" i="13"/>
  <c r="R5" i="13"/>
  <c r="L5" i="13"/>
  <c r="K5" i="13"/>
  <c r="AT3" i="13"/>
  <c r="AS3" i="13"/>
  <c r="AR3" i="13"/>
  <c r="AQ3" i="13"/>
  <c r="AP3" i="13"/>
  <c r="AO3" i="13"/>
  <c r="AN3" i="13"/>
  <c r="AM3" i="13"/>
  <c r="AL3" i="13"/>
  <c r="AK3" i="13"/>
  <c r="AJ3" i="13"/>
  <c r="AI3" i="13"/>
  <c r="AG3" i="13"/>
  <c r="AF3" i="13"/>
  <c r="AD3" i="13"/>
  <c r="AC3" i="13"/>
  <c r="AB3" i="13"/>
  <c r="Y3" i="13"/>
  <c r="AE3" i="13" s="1"/>
  <c r="W3" i="13"/>
  <c r="U3" i="13"/>
  <c r="R3" i="13"/>
  <c r="L3" i="13"/>
  <c r="K3" i="13"/>
  <c r="C2" i="35"/>
  <c r="B2" i="35"/>
  <c r="AM24" i="11"/>
  <c r="AM23" i="11"/>
  <c r="AM22" i="11"/>
  <c r="AM21" i="11"/>
  <c r="AM20" i="11"/>
  <c r="AM19" i="11"/>
  <c r="AT17" i="11"/>
  <c r="AS17" i="11"/>
  <c r="AR17" i="11"/>
  <c r="AQ17" i="11"/>
  <c r="AP17" i="11"/>
  <c r="AO17" i="11"/>
  <c r="AN17" i="11"/>
  <c r="AM17" i="11"/>
  <c r="AL17" i="11"/>
  <c r="AK17" i="11"/>
  <c r="AJ17" i="11"/>
  <c r="AI17" i="11"/>
  <c r="AG17" i="11"/>
  <c r="AF17" i="11"/>
  <c r="AC17" i="11"/>
  <c r="AD17" i="11" s="1"/>
  <c r="AB17" i="11"/>
  <c r="Y17" i="11"/>
  <c r="AE17" i="11" s="1"/>
  <c r="W17" i="11"/>
  <c r="U17" i="11"/>
  <c r="R17" i="11"/>
  <c r="L17" i="11"/>
  <c r="K17" i="11"/>
  <c r="AT15" i="11"/>
  <c r="AS15" i="11"/>
  <c r="AR15" i="11"/>
  <c r="AQ15" i="11"/>
  <c r="AP15" i="11"/>
  <c r="AO15" i="11"/>
  <c r="AN15" i="11"/>
  <c r="AM15" i="11"/>
  <c r="AL15" i="11"/>
  <c r="AK15" i="11"/>
  <c r="AJ15" i="11"/>
  <c r="AI15" i="11"/>
  <c r="AG15" i="11"/>
  <c r="AF15" i="11"/>
  <c r="AC15" i="11"/>
  <c r="AD15" i="11" s="1"/>
  <c r="AB15" i="11"/>
  <c r="Y15" i="11"/>
  <c r="AE15" i="11" s="1"/>
  <c r="W15" i="11"/>
  <c r="U15" i="11"/>
  <c r="R15" i="11"/>
  <c r="L15" i="11"/>
  <c r="K15" i="11"/>
  <c r="AT13" i="11"/>
  <c r="AS13" i="11"/>
  <c r="AR13" i="11"/>
  <c r="AQ13" i="11"/>
  <c r="AP13" i="11"/>
  <c r="AO13" i="11"/>
  <c r="AN13" i="11"/>
  <c r="AM13" i="11"/>
  <c r="AL13" i="11"/>
  <c r="AK13" i="11"/>
  <c r="AJ13" i="11"/>
  <c r="AI13" i="11"/>
  <c r="AG13" i="11"/>
  <c r="AF13" i="11"/>
  <c r="AC13" i="11"/>
  <c r="AD13" i="11" s="1"/>
  <c r="AB13" i="11"/>
  <c r="Y13" i="11"/>
  <c r="AE13" i="11" s="1"/>
  <c r="W13" i="11"/>
  <c r="U13" i="11"/>
  <c r="R13" i="11"/>
  <c r="L13" i="11"/>
  <c r="K13" i="11"/>
  <c r="AT11" i="11"/>
  <c r="AS11" i="11"/>
  <c r="AR11" i="11"/>
  <c r="AQ11" i="11"/>
  <c r="AP11" i="11"/>
  <c r="AO11" i="11"/>
  <c r="AN11" i="11"/>
  <c r="AM11" i="11"/>
  <c r="AL11" i="11"/>
  <c r="AK11" i="11"/>
  <c r="AJ11" i="11"/>
  <c r="AI11" i="11"/>
  <c r="AG11" i="11"/>
  <c r="AF11" i="11"/>
  <c r="AE11" i="11"/>
  <c r="AC11" i="11"/>
  <c r="AD11" i="11" s="1"/>
  <c r="AB11" i="11"/>
  <c r="Y11" i="11"/>
  <c r="W11" i="11"/>
  <c r="U11" i="11"/>
  <c r="R11" i="11"/>
  <c r="L11" i="11"/>
  <c r="K11" i="11"/>
  <c r="AT9" i="11"/>
  <c r="AS9" i="11"/>
  <c r="AR9" i="11"/>
  <c r="AQ9" i="11"/>
  <c r="AP9" i="11"/>
  <c r="AO9" i="11"/>
  <c r="AN9" i="11"/>
  <c r="AM9" i="11"/>
  <c r="AL9" i="11"/>
  <c r="AK9" i="11"/>
  <c r="AJ9" i="11"/>
  <c r="AI9" i="11"/>
  <c r="AG9" i="11"/>
  <c r="AF9" i="11"/>
  <c r="AC9" i="11"/>
  <c r="AD9" i="11" s="1"/>
  <c r="AB9" i="11"/>
  <c r="Y9" i="11"/>
  <c r="AE9" i="11" s="1"/>
  <c r="W9" i="11"/>
  <c r="U9" i="11"/>
  <c r="R9" i="11"/>
  <c r="L9" i="11"/>
  <c r="K9" i="11"/>
  <c r="AT7" i="11"/>
  <c r="AS7" i="11"/>
  <c r="AR7" i="11"/>
  <c r="AQ7" i="11"/>
  <c r="AP7" i="11"/>
  <c r="AO7" i="11"/>
  <c r="AN7" i="11"/>
  <c r="AM7" i="11"/>
  <c r="AL7" i="11"/>
  <c r="AK7" i="11"/>
  <c r="AJ7" i="11"/>
  <c r="AI7" i="11"/>
  <c r="AG7" i="11"/>
  <c r="AF7" i="11"/>
  <c r="AC7" i="11"/>
  <c r="AD7" i="11" s="1"/>
  <c r="AB7" i="11"/>
  <c r="Y7" i="11"/>
  <c r="AE7" i="11" s="1"/>
  <c r="W7" i="11"/>
  <c r="U7" i="11"/>
  <c r="R7" i="11"/>
  <c r="L7" i="11"/>
  <c r="K7" i="11"/>
  <c r="AT5" i="11"/>
  <c r="AS5" i="11"/>
  <c r="AR5" i="11"/>
  <c r="AQ5" i="11"/>
  <c r="AP5" i="11"/>
  <c r="AO5" i="11"/>
  <c r="AN5" i="11"/>
  <c r="AM5" i="11"/>
  <c r="AL5" i="11"/>
  <c r="AK5" i="11"/>
  <c r="AJ5" i="11"/>
  <c r="AI5" i="11"/>
  <c r="AG5" i="11"/>
  <c r="AF5" i="11"/>
  <c r="AC5" i="11"/>
  <c r="AD5" i="11" s="1"/>
  <c r="AB5" i="11"/>
  <c r="Y5" i="11"/>
  <c r="AE5" i="11" s="1"/>
  <c r="W5" i="11"/>
  <c r="U5" i="11"/>
  <c r="R5" i="11"/>
  <c r="L5" i="11"/>
  <c r="K5" i="11"/>
  <c r="AT3" i="11"/>
  <c r="AS3" i="11"/>
  <c r="AR3" i="11"/>
  <c r="AQ3" i="11"/>
  <c r="AP3" i="11"/>
  <c r="AO3" i="11"/>
  <c r="AN3" i="11"/>
  <c r="AM3" i="11"/>
  <c r="AL3" i="11"/>
  <c r="AK3" i="11"/>
  <c r="AJ3" i="11"/>
  <c r="AI3" i="11"/>
  <c r="AG3" i="11"/>
  <c r="AF3" i="11"/>
  <c r="AC3" i="11"/>
  <c r="AD3" i="11" s="1"/>
  <c r="AB3" i="11"/>
  <c r="Y3" i="11"/>
  <c r="AE3" i="11" s="1"/>
  <c r="W3" i="11"/>
  <c r="U3" i="11"/>
  <c r="R3" i="11"/>
  <c r="L3" i="11"/>
  <c r="K3" i="11"/>
  <c r="AI7" i="20" l="1"/>
  <c r="AC3" i="20"/>
  <c r="AD3" i="20" s="1"/>
  <c r="AI5" i="20"/>
  <c r="Y5" i="20"/>
  <c r="AE5" i="20" s="1"/>
  <c r="Y7" i="20"/>
  <c r="AE7" i="20" s="1"/>
  <c r="AC9" i="20"/>
  <c r="AD9" i="20" s="1"/>
  <c r="AC7" i="20"/>
  <c r="AD7" i="20" s="1"/>
  <c r="AJ7" i="20"/>
  <c r="AR7" i="20"/>
  <c r="AM9" i="20"/>
  <c r="AK7" i="20"/>
  <c r="AN9" i="20"/>
  <c r="AP3" i="20"/>
  <c r="AK5" i="20"/>
  <c r="AS5" i="20"/>
  <c r="AM7" i="20"/>
  <c r="AP9" i="20"/>
  <c r="AI3" i="20"/>
  <c r="AQ3" i="20"/>
  <c r="AC5" i="20"/>
  <c r="AD5" i="20" s="1"/>
  <c r="AL5" i="20"/>
  <c r="AT5" i="20"/>
  <c r="AN7" i="20"/>
  <c r="AI9" i="20"/>
  <c r="AQ9" i="20"/>
  <c r="Y3" i="20"/>
  <c r="AE3" i="20" s="1"/>
  <c r="AJ3" i="20"/>
  <c r="AR3" i="20"/>
  <c r="Y9" i="20"/>
  <c r="AE9" i="20" s="1"/>
  <c r="AJ9" i="20"/>
  <c r="AR9" i="20"/>
  <c r="AK3" i="20"/>
  <c r="AK9" i="20"/>
  <c r="AS9" i="20"/>
  <c r="AL9" i="20"/>
  <c r="AI5" i="19"/>
  <c r="AK7" i="19"/>
  <c r="AI3" i="19"/>
  <c r="AK13" i="19"/>
  <c r="AI13" i="19"/>
  <c r="AK9" i="19"/>
  <c r="AK11" i="19"/>
  <c r="AK15" i="19"/>
  <c r="AC19" i="19"/>
  <c r="AD19" i="19" s="1"/>
  <c r="AI7" i="19"/>
  <c r="AC23" i="19"/>
  <c r="AD23" i="19" s="1"/>
  <c r="Y23" i="19"/>
  <c r="AE23" i="19" s="1"/>
  <c r="AC13" i="19"/>
  <c r="AD13" i="19" s="1"/>
  <c r="AJ9" i="19"/>
  <c r="AJ7" i="19"/>
  <c r="AC3" i="19"/>
  <c r="AD3" i="19" s="1"/>
  <c r="AJ11" i="19"/>
  <c r="AI11" i="19"/>
  <c r="AI15" i="19"/>
  <c r="AJ5" i="19"/>
  <c r="AC15" i="19"/>
  <c r="AD15" i="19" s="1"/>
  <c r="AI17" i="19"/>
  <c r="AI21" i="19"/>
  <c r="AC11" i="19"/>
  <c r="AD11" i="19" s="1"/>
  <c r="Y17" i="19"/>
  <c r="AE17" i="19" s="1"/>
  <c r="AJ17" i="19"/>
  <c r="Y21" i="19"/>
  <c r="AE21" i="19" s="1"/>
  <c r="AJ21" i="19"/>
  <c r="AN23" i="19"/>
  <c r="AC7" i="19"/>
  <c r="AD7" i="19" s="1"/>
  <c r="AJ3" i="19"/>
  <c r="AC5" i="19"/>
  <c r="AD5" i="19" s="1"/>
  <c r="AL5" i="19"/>
  <c r="AT5" i="19"/>
  <c r="AN11" i="19"/>
  <c r="AN13" i="19"/>
  <c r="AN15" i="19"/>
  <c r="AK17" i="19"/>
  <c r="AS17" i="19"/>
  <c r="AO19" i="19"/>
  <c r="AK21" i="19"/>
  <c r="AS21" i="19"/>
  <c r="AO23" i="19"/>
  <c r="AK5" i="19"/>
  <c r="AK3" i="19"/>
  <c r="AC17" i="19"/>
  <c r="AD17" i="19" s="1"/>
  <c r="AC21" i="19"/>
  <c r="AD21" i="19" s="1"/>
  <c r="Y5" i="19"/>
  <c r="AE5" i="19" s="1"/>
  <c r="AC9" i="19"/>
  <c r="AD9" i="19" s="1"/>
  <c r="AN5" i="19"/>
  <c r="AP7" i="19"/>
  <c r="AP9" i="19"/>
  <c r="AP11" i="19"/>
  <c r="AP13" i="19"/>
  <c r="AP15" i="19"/>
  <c r="AM17" i="19"/>
  <c r="AI19" i="19"/>
  <c r="AQ19" i="19"/>
  <c r="AM21" i="19"/>
  <c r="AI23" i="19"/>
  <c r="AQ23" i="19"/>
  <c r="AI9" i="19"/>
  <c r="AJ19" i="19"/>
  <c r="AJ23" i="19"/>
  <c r="Y7" i="19"/>
  <c r="AE7" i="19" s="1"/>
  <c r="Y9" i="19"/>
  <c r="AE9" i="19" s="1"/>
  <c r="Y11" i="19"/>
  <c r="AE11" i="19" s="1"/>
  <c r="Y13" i="19"/>
  <c r="AE13" i="19" s="1"/>
  <c r="AJ13" i="19"/>
  <c r="Y15" i="19"/>
  <c r="AE15" i="19" s="1"/>
  <c r="AJ15" i="19"/>
  <c r="AK19" i="19"/>
  <c r="AK23" i="19"/>
  <c r="AC3" i="17"/>
  <c r="AD3" i="17" s="1"/>
  <c r="AI23" i="17"/>
  <c r="AK27" i="17"/>
  <c r="AJ31" i="17"/>
  <c r="AJ13" i="17"/>
  <c r="AC9" i="17"/>
  <c r="AD9" i="17" s="1"/>
  <c r="AJ15" i="17"/>
  <c r="AI25" i="17"/>
  <c r="AC11" i="17"/>
  <c r="AD11" i="17" s="1"/>
  <c r="AK17" i="17"/>
  <c r="AJ25" i="17"/>
  <c r="Y25" i="17"/>
  <c r="AE25" i="17" s="1"/>
  <c r="AC31" i="17"/>
  <c r="AD31" i="17" s="1"/>
  <c r="AC13" i="17"/>
  <c r="AD13" i="17" s="1"/>
  <c r="AK25" i="17"/>
  <c r="AC7" i="17"/>
  <c r="AD7" i="17" s="1"/>
  <c r="AC15" i="17"/>
  <c r="AD15" i="17" s="1"/>
  <c r="AC19" i="17"/>
  <c r="AD19" i="17" s="1"/>
  <c r="AC23" i="17"/>
  <c r="AD23" i="17" s="1"/>
  <c r="AI29" i="17"/>
  <c r="AJ3" i="17"/>
  <c r="AK5" i="17"/>
  <c r="AJ7" i="17"/>
  <c r="Y7" i="17"/>
  <c r="AE7" i="17" s="1"/>
  <c r="AC17" i="17"/>
  <c r="AD17" i="17" s="1"/>
  <c r="AI19" i="17"/>
  <c r="AK21" i="17"/>
  <c r="AK23" i="17"/>
  <c r="AJ29" i="17"/>
  <c r="Y29" i="17"/>
  <c r="AE29" i="17" s="1"/>
  <c r="AJ9" i="17"/>
  <c r="Y9" i="17"/>
  <c r="AE9" i="17" s="1"/>
  <c r="AJ19" i="17"/>
  <c r="AI27" i="17"/>
  <c r="AK29" i="17"/>
  <c r="AJ11" i="17"/>
  <c r="AC27" i="17"/>
  <c r="AD27" i="17" s="1"/>
  <c r="AK3" i="17"/>
  <c r="AI3" i="17"/>
  <c r="AC5" i="17"/>
  <c r="AD5" i="17" s="1"/>
  <c r="AC21" i="17"/>
  <c r="AD21" i="17" s="1"/>
  <c r="AM5" i="17"/>
  <c r="AO9" i="17"/>
  <c r="AO11" i="17"/>
  <c r="AO13" i="17"/>
  <c r="AO15" i="17"/>
  <c r="AP17" i="17"/>
  <c r="AK19" i="17"/>
  <c r="AS19" i="17"/>
  <c r="AM21" i="17"/>
  <c r="AC25" i="17"/>
  <c r="AD25" i="17" s="1"/>
  <c r="AL25" i="17"/>
  <c r="AT25" i="17"/>
  <c r="AP27" i="17"/>
  <c r="AC29" i="17"/>
  <c r="AD29" i="17" s="1"/>
  <c r="AL29" i="17"/>
  <c r="AT29" i="17"/>
  <c r="AO31" i="17"/>
  <c r="AN5" i="17"/>
  <c r="AI17" i="17"/>
  <c r="AN21" i="17"/>
  <c r="AP31" i="17"/>
  <c r="AI7" i="17"/>
  <c r="AI9" i="17"/>
  <c r="AI11" i="17"/>
  <c r="AI13" i="17"/>
  <c r="AI15" i="17"/>
  <c r="Y17" i="17"/>
  <c r="AE17" i="17" s="1"/>
  <c r="AJ17" i="17"/>
  <c r="AJ23" i="17"/>
  <c r="AJ27" i="17"/>
  <c r="AI31" i="17"/>
  <c r="AI5" i="17"/>
  <c r="AK7" i="17"/>
  <c r="AK9" i="17"/>
  <c r="AK11" i="17"/>
  <c r="AK13" i="17"/>
  <c r="AK15" i="17"/>
  <c r="AI21" i="17"/>
  <c r="AK31" i="17"/>
  <c r="Y5" i="17"/>
  <c r="AE5" i="17" s="1"/>
  <c r="AJ5" i="17"/>
  <c r="Y21" i="17"/>
  <c r="AE21" i="17" s="1"/>
  <c r="AJ21" i="17"/>
  <c r="AM27" i="11"/>
  <c r="AM26" i="11"/>
  <c r="U129" i="1"/>
  <c r="U127" i="1"/>
  <c r="U125" i="1"/>
  <c r="U123" i="1"/>
  <c r="U121" i="1"/>
  <c r="U119" i="1"/>
  <c r="U117" i="1"/>
  <c r="U115" i="1"/>
  <c r="U113" i="1"/>
  <c r="U111" i="1"/>
  <c r="U109" i="1"/>
  <c r="U107" i="1"/>
  <c r="U105" i="1"/>
  <c r="U103" i="1"/>
  <c r="U101" i="1"/>
  <c r="U99" i="1"/>
  <c r="U97" i="1"/>
  <c r="U95" i="1"/>
  <c r="U93" i="1"/>
  <c r="U91" i="1"/>
  <c r="U65" i="1"/>
  <c r="U37" i="1"/>
  <c r="U29" i="1"/>
  <c r="U5" i="1"/>
  <c r="U3" i="1"/>
  <c r="AG129" i="1"/>
  <c r="AF129" i="1"/>
  <c r="AA129" i="1"/>
  <c r="AB129" i="1" s="1"/>
  <c r="W129" i="1"/>
  <c r="R129" i="1"/>
  <c r="L129" i="1"/>
  <c r="K129" i="1"/>
  <c r="BG128" i="1"/>
  <c r="BF128" i="1"/>
  <c r="BE128" i="1"/>
  <c r="BD128" i="1"/>
  <c r="BC128" i="1"/>
  <c r="BB128" i="1"/>
  <c r="BA128" i="1"/>
  <c r="AZ128" i="1"/>
  <c r="AY128" i="1"/>
  <c r="AX128" i="1"/>
  <c r="AW128" i="1"/>
  <c r="AV128" i="1"/>
  <c r="AG127" i="1"/>
  <c r="AF127" i="1"/>
  <c r="AB127" i="1"/>
  <c r="W127" i="1"/>
  <c r="R127" i="1"/>
  <c r="L127" i="1"/>
  <c r="K127" i="1"/>
  <c r="BG126" i="1"/>
  <c r="BF126" i="1"/>
  <c r="BE126" i="1"/>
  <c r="BD126" i="1"/>
  <c r="BC126" i="1"/>
  <c r="BB126" i="1"/>
  <c r="BA126" i="1"/>
  <c r="AZ126" i="1"/>
  <c r="AY126" i="1"/>
  <c r="AX126" i="1"/>
  <c r="AW126" i="1"/>
  <c r="AV126" i="1"/>
  <c r="AG125" i="1"/>
  <c r="AF125" i="1"/>
  <c r="AA125" i="1"/>
  <c r="AB125" i="1" s="1"/>
  <c r="W125" i="1"/>
  <c r="R125" i="1"/>
  <c r="L125" i="1"/>
  <c r="K125" i="1"/>
  <c r="AZ124" i="1"/>
  <c r="AY124" i="1"/>
  <c r="AX124" i="1"/>
  <c r="AW124" i="1"/>
  <c r="AV124" i="1"/>
  <c r="AG123" i="1"/>
  <c r="AF123" i="1"/>
  <c r="AA123" i="1"/>
  <c r="AB123" i="1" s="1"/>
  <c r="W123" i="1"/>
  <c r="R123" i="1"/>
  <c r="L123" i="1"/>
  <c r="K123" i="1"/>
  <c r="AZ122" i="1"/>
  <c r="AY122" i="1"/>
  <c r="AX122" i="1"/>
  <c r="AW122" i="1"/>
  <c r="AV122" i="1"/>
  <c r="AG121" i="1"/>
  <c r="AF121" i="1"/>
  <c r="AB121" i="1"/>
  <c r="W121" i="1"/>
  <c r="R121" i="1"/>
  <c r="L121" i="1"/>
  <c r="K121" i="1"/>
  <c r="BJ120" i="1"/>
  <c r="BI120" i="1"/>
  <c r="BH120" i="1"/>
  <c r="BG120" i="1"/>
  <c r="BF120" i="1"/>
  <c r="BE120" i="1"/>
  <c r="BD120" i="1"/>
  <c r="BC120" i="1"/>
  <c r="BB120" i="1"/>
  <c r="BA120" i="1"/>
  <c r="AZ120" i="1"/>
  <c r="AY120" i="1"/>
  <c r="AX120" i="1"/>
  <c r="AW120" i="1"/>
  <c r="AV120" i="1"/>
  <c r="AG119" i="1"/>
  <c r="AF119" i="1"/>
  <c r="AB119" i="1"/>
  <c r="W119" i="1"/>
  <c r="R119" i="1"/>
  <c r="L119" i="1"/>
  <c r="K119" i="1"/>
  <c r="BJ118" i="1"/>
  <c r="BI118" i="1"/>
  <c r="BH118" i="1"/>
  <c r="BG118" i="1"/>
  <c r="BF118" i="1"/>
  <c r="BE118" i="1"/>
  <c r="BD118" i="1"/>
  <c r="BC118" i="1"/>
  <c r="BB118" i="1"/>
  <c r="BA118" i="1"/>
  <c r="AZ118" i="1"/>
  <c r="AY118" i="1"/>
  <c r="AX118" i="1"/>
  <c r="AW118" i="1"/>
  <c r="AV118" i="1"/>
  <c r="Y119" i="1" s="1"/>
  <c r="AE119" i="1" s="1"/>
  <c r="AG117" i="1"/>
  <c r="AF117" i="1"/>
  <c r="AB117" i="1"/>
  <c r="W117" i="1"/>
  <c r="R117" i="1"/>
  <c r="L117" i="1"/>
  <c r="K117" i="1"/>
  <c r="BJ116" i="1"/>
  <c r="BI116" i="1"/>
  <c r="BH116" i="1"/>
  <c r="BG116" i="1"/>
  <c r="BF116" i="1"/>
  <c r="BE116" i="1"/>
  <c r="BD116" i="1"/>
  <c r="BC116" i="1"/>
  <c r="BB116" i="1"/>
  <c r="BA116" i="1"/>
  <c r="AZ116" i="1"/>
  <c r="AY116" i="1"/>
  <c r="AX116" i="1"/>
  <c r="AW116" i="1"/>
  <c r="AV116" i="1"/>
  <c r="Y117" i="1" s="1"/>
  <c r="AE117" i="1" s="1"/>
  <c r="AG115" i="1"/>
  <c r="AF115" i="1"/>
  <c r="AB115" i="1"/>
  <c r="W115" i="1"/>
  <c r="R115" i="1"/>
  <c r="L115" i="1"/>
  <c r="K115" i="1"/>
  <c r="BG114" i="1"/>
  <c r="BF114" i="1"/>
  <c r="BE114" i="1"/>
  <c r="BD114" i="1"/>
  <c r="BC114" i="1"/>
  <c r="BB114" i="1"/>
  <c r="BA114" i="1"/>
  <c r="AZ114" i="1"/>
  <c r="AY114" i="1"/>
  <c r="AX114" i="1"/>
  <c r="AW114" i="1"/>
  <c r="AV114" i="1"/>
  <c r="AG113" i="1"/>
  <c r="AF113" i="1"/>
  <c r="AB113" i="1"/>
  <c r="W113" i="1"/>
  <c r="R113" i="1"/>
  <c r="L113" i="1"/>
  <c r="K113" i="1"/>
  <c r="BG112" i="1"/>
  <c r="BF112" i="1"/>
  <c r="BE112" i="1"/>
  <c r="BD112" i="1"/>
  <c r="BC112" i="1"/>
  <c r="BB112" i="1"/>
  <c r="BA112" i="1"/>
  <c r="AZ112" i="1"/>
  <c r="AY112" i="1"/>
  <c r="AX112" i="1"/>
  <c r="AW112" i="1"/>
  <c r="AV112" i="1"/>
  <c r="AG111" i="1"/>
  <c r="AF111" i="1"/>
  <c r="AB111" i="1"/>
  <c r="W111" i="1"/>
  <c r="R111" i="1"/>
  <c r="L111" i="1"/>
  <c r="K111" i="1"/>
  <c r="BG110" i="1"/>
  <c r="BF110" i="1"/>
  <c r="BE110" i="1"/>
  <c r="BD110" i="1"/>
  <c r="BC110" i="1"/>
  <c r="BB110" i="1"/>
  <c r="BA110" i="1"/>
  <c r="AZ110" i="1"/>
  <c r="AY110" i="1"/>
  <c r="AX110" i="1"/>
  <c r="AW110" i="1"/>
  <c r="AV110" i="1"/>
  <c r="AG109" i="1"/>
  <c r="AF109" i="1"/>
  <c r="AB109" i="1"/>
  <c r="W109" i="1"/>
  <c r="R109" i="1"/>
  <c r="L109" i="1"/>
  <c r="K109" i="1"/>
  <c r="AZ108" i="1"/>
  <c r="AY108" i="1"/>
  <c r="AX108" i="1"/>
  <c r="AW108" i="1"/>
  <c r="AV108" i="1"/>
  <c r="AG107" i="1"/>
  <c r="AF107" i="1"/>
  <c r="AB107" i="1"/>
  <c r="W107" i="1"/>
  <c r="R107" i="1"/>
  <c r="L107" i="1"/>
  <c r="K107" i="1"/>
  <c r="BA106" i="1"/>
  <c r="AZ106" i="1"/>
  <c r="AY106" i="1"/>
  <c r="AX106" i="1"/>
  <c r="AW106" i="1"/>
  <c r="AV106" i="1"/>
  <c r="AG105" i="1"/>
  <c r="AF105" i="1"/>
  <c r="AB105" i="1"/>
  <c r="W105" i="1"/>
  <c r="R105" i="1"/>
  <c r="L105" i="1"/>
  <c r="K105" i="1"/>
  <c r="AZ104" i="1"/>
  <c r="AY104" i="1"/>
  <c r="AX104" i="1"/>
  <c r="AW104" i="1"/>
  <c r="AV104" i="1"/>
  <c r="AG103" i="1"/>
  <c r="AF103" i="1"/>
  <c r="AB103" i="1"/>
  <c r="W103" i="1"/>
  <c r="R103" i="1"/>
  <c r="L103" i="1"/>
  <c r="K103" i="1"/>
  <c r="BB102" i="1"/>
  <c r="BA102" i="1"/>
  <c r="AZ102" i="1"/>
  <c r="AY102" i="1"/>
  <c r="AX102" i="1"/>
  <c r="AW102" i="1"/>
  <c r="AV102" i="1"/>
  <c r="Y103" i="1" s="1"/>
  <c r="AE103" i="1" s="1"/>
  <c r="AG101" i="1"/>
  <c r="AF101" i="1"/>
  <c r="AB101" i="1"/>
  <c r="W101" i="1"/>
  <c r="R101" i="1"/>
  <c r="L101" i="1"/>
  <c r="K101" i="1"/>
  <c r="BC100" i="1"/>
  <c r="BB100" i="1"/>
  <c r="BA100" i="1"/>
  <c r="AZ100" i="1"/>
  <c r="AY100" i="1"/>
  <c r="AX100" i="1"/>
  <c r="AW100" i="1"/>
  <c r="AV100" i="1"/>
  <c r="AG99" i="1"/>
  <c r="AF99" i="1"/>
  <c r="AB99" i="1"/>
  <c r="W99" i="1"/>
  <c r="R99" i="1"/>
  <c r="L99" i="1"/>
  <c r="K99" i="1"/>
  <c r="BC98" i="1"/>
  <c r="BB98" i="1"/>
  <c r="BA98" i="1"/>
  <c r="AZ98" i="1"/>
  <c r="AY98" i="1"/>
  <c r="AX98" i="1"/>
  <c r="AW98" i="1"/>
  <c r="AV98" i="1"/>
  <c r="AG97" i="1"/>
  <c r="AF97" i="1"/>
  <c r="AB97" i="1"/>
  <c r="W97" i="1"/>
  <c r="R97" i="1"/>
  <c r="L97" i="1"/>
  <c r="K97" i="1"/>
  <c r="BC96" i="1"/>
  <c r="BB96" i="1"/>
  <c r="BA96" i="1"/>
  <c r="AZ96" i="1"/>
  <c r="AY96" i="1"/>
  <c r="AX96" i="1"/>
  <c r="AW96" i="1"/>
  <c r="AV96" i="1"/>
  <c r="AG95" i="1"/>
  <c r="AF95" i="1"/>
  <c r="AB95" i="1"/>
  <c r="W95" i="1"/>
  <c r="R95" i="1"/>
  <c r="L95" i="1"/>
  <c r="K95" i="1"/>
  <c r="BC94" i="1"/>
  <c r="BB94" i="1"/>
  <c r="BA94" i="1"/>
  <c r="AZ94" i="1"/>
  <c r="AY94" i="1"/>
  <c r="AX94" i="1"/>
  <c r="AW94" i="1"/>
  <c r="AV94" i="1"/>
  <c r="AG93" i="1"/>
  <c r="AF93" i="1"/>
  <c r="AB93" i="1"/>
  <c r="W93" i="1"/>
  <c r="R93" i="1"/>
  <c r="L93" i="1"/>
  <c r="K93" i="1"/>
  <c r="BA92" i="1"/>
  <c r="AZ92" i="1"/>
  <c r="AY92" i="1"/>
  <c r="AX92" i="1"/>
  <c r="AW92" i="1"/>
  <c r="AV92" i="1"/>
  <c r="AG91" i="1"/>
  <c r="AF91" i="1"/>
  <c r="AB91" i="1"/>
  <c r="W91" i="1"/>
  <c r="R91" i="1"/>
  <c r="L91" i="1"/>
  <c r="K91" i="1"/>
  <c r="BA90" i="1"/>
  <c r="AZ90" i="1"/>
  <c r="AY90" i="1"/>
  <c r="AX90" i="1"/>
  <c r="AW90" i="1"/>
  <c r="AV90" i="1"/>
  <c r="AG65" i="1"/>
  <c r="AF65" i="1"/>
  <c r="AA65" i="1"/>
  <c r="Y65" i="1"/>
  <c r="W65" i="1"/>
  <c r="R65" i="1"/>
  <c r="L65" i="1"/>
  <c r="K65" i="1"/>
  <c r="AY64" i="1"/>
  <c r="AX64" i="1"/>
  <c r="AW64" i="1"/>
  <c r="AT37" i="1"/>
  <c r="AS37" i="1"/>
  <c r="AR37" i="1"/>
  <c r="AQ37" i="1"/>
  <c r="AP37" i="1"/>
  <c r="AO37" i="1"/>
  <c r="AN37" i="1"/>
  <c r="AM37" i="1"/>
  <c r="AL37" i="1"/>
  <c r="AK37" i="1"/>
  <c r="AJ37" i="1"/>
  <c r="AI37" i="1"/>
  <c r="AG37" i="1"/>
  <c r="AF37" i="1"/>
  <c r="AC37" i="1"/>
  <c r="AD37" i="1" s="1"/>
  <c r="AB37" i="1"/>
  <c r="Y37" i="1"/>
  <c r="AE37" i="1" s="1"/>
  <c r="W37" i="1"/>
  <c r="R37" i="1"/>
  <c r="L37" i="1"/>
  <c r="K37" i="1"/>
  <c r="AT29" i="1"/>
  <c r="AS29" i="1"/>
  <c r="AR29" i="1"/>
  <c r="AQ29" i="1"/>
  <c r="AP29" i="1"/>
  <c r="AO29" i="1"/>
  <c r="AN29" i="1"/>
  <c r="AM29" i="1"/>
  <c r="AL29" i="1"/>
  <c r="AK29" i="1"/>
  <c r="AJ29" i="1"/>
  <c r="AI29" i="1"/>
  <c r="AG29" i="1"/>
  <c r="AF29" i="1"/>
  <c r="AC29" i="1"/>
  <c r="AD29" i="1" s="1"/>
  <c r="AB29" i="1"/>
  <c r="Y29" i="1"/>
  <c r="AE29" i="1" s="1"/>
  <c r="W29" i="1"/>
  <c r="R29" i="1"/>
  <c r="L29" i="1"/>
  <c r="K29" i="1"/>
  <c r="AG5" i="1"/>
  <c r="AF5" i="1"/>
  <c r="AA5" i="1"/>
  <c r="W5" i="1"/>
  <c r="R5" i="1"/>
  <c r="K5" i="1"/>
  <c r="AX4" i="1"/>
  <c r="AW4" i="1"/>
  <c r="AV4" i="1"/>
  <c r="AG3" i="1"/>
  <c r="AF3" i="1"/>
  <c r="AA3" i="1"/>
  <c r="AB3" i="1" s="1"/>
  <c r="W3" i="1"/>
  <c r="R3" i="1"/>
  <c r="K3" i="1"/>
  <c r="AX2" i="1"/>
  <c r="AW2" i="1"/>
  <c r="AV2" i="1"/>
  <c r="AC107" i="1" l="1"/>
  <c r="AD107" i="1" s="1"/>
  <c r="AI5" i="1"/>
  <c r="AC113" i="1"/>
  <c r="AD113" i="1" s="1"/>
  <c r="AC117" i="1"/>
  <c r="AD117" i="1" s="1"/>
  <c r="AC3" i="1"/>
  <c r="AD3" i="1" s="1"/>
  <c r="AC103" i="1"/>
  <c r="AD103" i="1" s="1"/>
  <c r="AK91" i="1"/>
  <c r="AJ93" i="1"/>
  <c r="AL3" i="1"/>
  <c r="AJ5" i="1"/>
  <c r="AN3" i="1"/>
  <c r="AK5" i="1"/>
  <c r="Y3" i="1"/>
  <c r="AE3" i="1" s="1"/>
  <c r="Y93" i="1"/>
  <c r="AE93" i="1" s="1"/>
  <c r="AC105" i="1"/>
  <c r="AD105" i="1" s="1"/>
  <c r="AK113" i="1"/>
  <c r="AK127" i="1"/>
  <c r="AK3" i="1"/>
  <c r="AS3" i="1"/>
  <c r="Y5" i="1"/>
  <c r="AE5" i="1" s="1"/>
  <c r="AQ5" i="1"/>
  <c r="AC109" i="1"/>
  <c r="AD109" i="1" s="1"/>
  <c r="Y109" i="1"/>
  <c r="AE109" i="1" s="1"/>
  <c r="AC127" i="1"/>
  <c r="AD127" i="1" s="1"/>
  <c r="AI93" i="1"/>
  <c r="AK107" i="1"/>
  <c r="Y107" i="1"/>
  <c r="AE107" i="1" s="1"/>
  <c r="AK115" i="1"/>
  <c r="Y123" i="1"/>
  <c r="AE123" i="1" s="1"/>
  <c r="AE65" i="1"/>
  <c r="AC91" i="1"/>
  <c r="AD91" i="1" s="1"/>
  <c r="AC97" i="1"/>
  <c r="AD97" i="1" s="1"/>
  <c r="AC111" i="1"/>
  <c r="AD111" i="1" s="1"/>
  <c r="AK119" i="1"/>
  <c r="AC115" i="1"/>
  <c r="AD115" i="1" s="1"/>
  <c r="AJ91" i="1"/>
  <c r="Y91" i="1"/>
  <c r="AE91" i="1" s="1"/>
  <c r="AK97" i="1"/>
  <c r="AC101" i="1"/>
  <c r="AD101" i="1" s="1"/>
  <c r="AC123" i="1"/>
  <c r="AD123" i="1" s="1"/>
  <c r="AR5" i="1"/>
  <c r="AL5" i="1"/>
  <c r="AC5" i="1"/>
  <c r="AD5" i="1" s="1"/>
  <c r="AC65" i="1"/>
  <c r="AD65" i="1" s="1"/>
  <c r="AI65" i="1"/>
  <c r="AB65" i="1"/>
  <c r="AJ65" i="1"/>
  <c r="AK93" i="1"/>
  <c r="AC93" i="1"/>
  <c r="AD93" i="1" s="1"/>
  <c r="AM3" i="1"/>
  <c r="AJ3" i="1"/>
  <c r="AB5" i="1"/>
  <c r="AK65" i="1"/>
  <c r="AC95" i="1"/>
  <c r="AD95" i="1" s="1"/>
  <c r="AK95" i="1"/>
  <c r="AJ95" i="1"/>
  <c r="Y95" i="1"/>
  <c r="AE95" i="1" s="1"/>
  <c r="AI95" i="1"/>
  <c r="AI3" i="1"/>
  <c r="AC119" i="1"/>
  <c r="AD119" i="1" s="1"/>
  <c r="Y121" i="1"/>
  <c r="AE121" i="1" s="1"/>
  <c r="AJ121" i="1"/>
  <c r="AI123" i="1"/>
  <c r="AI127" i="1"/>
  <c r="Y129" i="1"/>
  <c r="AE129" i="1" s="1"/>
  <c r="AI129" i="1"/>
  <c r="AK99" i="1"/>
  <c r="AN91" i="1"/>
  <c r="AM93" i="1"/>
  <c r="AO97" i="1"/>
  <c r="AS97" i="1"/>
  <c r="AC99" i="1"/>
  <c r="AD99" i="1" s="1"/>
  <c r="AL99" i="1"/>
  <c r="AR99" i="1"/>
  <c r="AI101" i="1"/>
  <c r="AO103" i="1"/>
  <c r="AO105" i="1"/>
  <c r="AS105" i="1"/>
  <c r="AN107" i="1"/>
  <c r="AN109" i="1"/>
  <c r="AO111" i="1"/>
  <c r="AS111" i="1"/>
  <c r="AP113" i="1"/>
  <c r="AT113" i="1"/>
  <c r="AI115" i="1"/>
  <c r="AO117" i="1"/>
  <c r="AM119" i="1"/>
  <c r="AK121" i="1"/>
  <c r="AQ121" i="1"/>
  <c r="AJ123" i="1"/>
  <c r="Y125" i="1"/>
  <c r="AE125" i="1" s="1"/>
  <c r="AI125" i="1"/>
  <c r="Y127" i="1"/>
  <c r="AE127" i="1" s="1"/>
  <c r="AJ127" i="1"/>
  <c r="AJ129" i="1"/>
  <c r="Y101" i="1"/>
  <c r="AE101" i="1" s="1"/>
  <c r="AJ101" i="1"/>
  <c r="AI113" i="1"/>
  <c r="Y115" i="1"/>
  <c r="AE115" i="1" s="1"/>
  <c r="AJ115" i="1"/>
  <c r="AC121" i="1"/>
  <c r="AD121" i="1" s="1"/>
  <c r="AK123" i="1"/>
  <c r="AJ125" i="1"/>
  <c r="AK129" i="1"/>
  <c r="AI97" i="1"/>
  <c r="AK101" i="1"/>
  <c r="AI103" i="1"/>
  <c r="AI105" i="1"/>
  <c r="AI111" i="1"/>
  <c r="Y113" i="1"/>
  <c r="AE113" i="1" s="1"/>
  <c r="AJ113" i="1"/>
  <c r="AI117" i="1"/>
  <c r="AK125" i="1"/>
  <c r="AC129" i="1"/>
  <c r="AD129" i="1" s="1"/>
  <c r="AI91" i="1"/>
  <c r="Y97" i="1"/>
  <c r="AE97" i="1" s="1"/>
  <c r="AJ97" i="1"/>
  <c r="AJ103" i="1"/>
  <c r="Y105" i="1"/>
  <c r="AE105" i="1" s="1"/>
  <c r="AJ105" i="1"/>
  <c r="AI107" i="1"/>
  <c r="AI109" i="1"/>
  <c r="Y111" i="1"/>
  <c r="AE111" i="1" s="1"/>
  <c r="AJ111" i="1"/>
  <c r="AJ117" i="1"/>
  <c r="AM123" i="1"/>
  <c r="AC125" i="1"/>
  <c r="AD125" i="1" s="1"/>
  <c r="AL125" i="1"/>
  <c r="AM127" i="1"/>
  <c r="AM129" i="1"/>
  <c r="AK103" i="1"/>
  <c r="AK105" i="1"/>
  <c r="AJ107" i="1"/>
  <c r="AJ109" i="1"/>
  <c r="AK111" i="1"/>
  <c r="AK117" i="1"/>
  <c r="AI119" i="1"/>
  <c r="AI99" i="1"/>
  <c r="AK109" i="1"/>
  <c r="AJ119" i="1"/>
  <c r="Y99" i="1"/>
  <c r="AE99" i="1" s="1"/>
  <c r="AJ99" i="1"/>
  <c r="AI121" i="1"/>
  <c r="AM23" i="13" l="1"/>
  <c r="AG69" i="1" l="1"/>
  <c r="AF69" i="1"/>
  <c r="AA69" i="1"/>
  <c r="Y69" i="1"/>
  <c r="W69" i="1"/>
  <c r="U69" i="1"/>
  <c r="R69" i="1"/>
  <c r="L69" i="1"/>
  <c r="K69" i="1"/>
  <c r="AY68" i="1"/>
  <c r="AX68" i="1"/>
  <c r="AW68" i="1"/>
  <c r="AY66" i="1"/>
  <c r="AX66" i="1"/>
  <c r="AW66" i="1"/>
  <c r="AG67" i="1"/>
  <c r="AF67" i="1"/>
  <c r="Y67" i="1"/>
  <c r="AA67" i="1"/>
  <c r="AB67" i="1" s="1"/>
  <c r="W67" i="1"/>
  <c r="U67" i="1"/>
  <c r="R67" i="1"/>
  <c r="L67" i="1"/>
  <c r="K67" i="1"/>
  <c r="AX38" i="1"/>
  <c r="AW38" i="1"/>
  <c r="AV38" i="1"/>
  <c r="Y39" i="1" s="1"/>
  <c r="AA39" i="1"/>
  <c r="AB39" i="1" s="1"/>
  <c r="AG39" i="1"/>
  <c r="AF39" i="1"/>
  <c r="W39" i="1"/>
  <c r="U39" i="1"/>
  <c r="R39" i="1"/>
  <c r="L39" i="1"/>
  <c r="K39" i="1"/>
  <c r="A43" i="30"/>
  <c r="A41" i="30"/>
  <c r="D11" i="24"/>
  <c r="B11" i="24"/>
  <c r="C11" i="24" s="1"/>
  <c r="A11" i="24"/>
  <c r="D9" i="24"/>
  <c r="B9" i="24"/>
  <c r="C9" i="24" s="1"/>
  <c r="A9" i="24"/>
  <c r="AJ69" i="1" l="1"/>
  <c r="AK67" i="1"/>
  <c r="AE69" i="1"/>
  <c r="AE67" i="1"/>
  <c r="AB69" i="1"/>
  <c r="AI69" i="1"/>
  <c r="AK69" i="1"/>
  <c r="AI67" i="1"/>
  <c r="AJ67" i="1"/>
  <c r="B43" i="30"/>
  <c r="C43" i="30" s="1"/>
  <c r="B41" i="30"/>
  <c r="C41" i="30" s="1"/>
  <c r="AE39" i="1"/>
  <c r="AJ39" i="1"/>
  <c r="AI39" i="1"/>
  <c r="AK39" i="1"/>
  <c r="B37" i="24"/>
  <c r="C37" i="24" s="1"/>
  <c r="A37" i="24"/>
  <c r="B35" i="24"/>
  <c r="C35" i="24" s="1"/>
  <c r="A35" i="24"/>
  <c r="D43" i="26"/>
  <c r="B43" i="26"/>
  <c r="C43" i="26" s="1"/>
  <c r="A43" i="26"/>
  <c r="D41" i="26"/>
  <c r="B41" i="26"/>
  <c r="C41" i="26" s="1"/>
  <c r="A41" i="26"/>
  <c r="D39" i="26"/>
  <c r="B39" i="26"/>
  <c r="C39" i="26" s="1"/>
  <c r="A39" i="26"/>
  <c r="D37" i="26"/>
  <c r="B37" i="26"/>
  <c r="C37" i="26" s="1"/>
  <c r="A37" i="26"/>
  <c r="D35" i="26"/>
  <c r="B35" i="26"/>
  <c r="C35" i="26" s="1"/>
  <c r="A35" i="26"/>
  <c r="B33" i="26"/>
  <c r="C33" i="26" s="1"/>
  <c r="A33" i="26"/>
  <c r="B31" i="26"/>
  <c r="C31" i="26" s="1"/>
  <c r="A31" i="26"/>
  <c r="A27" i="24"/>
  <c r="B27" i="24" l="1"/>
  <c r="C27" i="24" s="1"/>
  <c r="A23" i="32"/>
  <c r="B23" i="32" l="1"/>
  <c r="C23" i="32" s="1"/>
  <c r="B21" i="14"/>
  <c r="C21" i="14" s="1"/>
  <c r="AX30" i="1"/>
  <c r="AW30" i="1"/>
  <c r="AV30" i="1"/>
  <c r="AA31" i="1"/>
  <c r="AB31" i="1" s="1"/>
  <c r="AG31" i="1"/>
  <c r="AF31" i="1"/>
  <c r="W31" i="1"/>
  <c r="U31" i="1"/>
  <c r="R31" i="1"/>
  <c r="L31" i="1"/>
  <c r="K31" i="1"/>
  <c r="Y31" i="1" l="1"/>
  <c r="AE31" i="1" s="1"/>
  <c r="AJ31" i="1"/>
  <c r="AI31" i="1"/>
  <c r="AK31" i="1"/>
  <c r="X47" i="29" l="1"/>
  <c r="X47" i="23"/>
  <c r="B21" i="34" l="1"/>
  <c r="C21" i="34" s="1"/>
  <c r="A21" i="34"/>
  <c r="B19" i="34"/>
  <c r="C19" i="34" s="1"/>
  <c r="A19" i="34"/>
  <c r="B17" i="34"/>
  <c r="C17" i="34" s="1"/>
  <c r="A17" i="34"/>
  <c r="B15" i="34"/>
  <c r="C15" i="34" s="1"/>
  <c r="A15" i="34"/>
  <c r="B13" i="34"/>
  <c r="C13" i="34" s="1"/>
  <c r="A13" i="34"/>
  <c r="B11" i="34"/>
  <c r="C11" i="34" s="1"/>
  <c r="A11" i="34"/>
  <c r="B9" i="34"/>
  <c r="C9" i="34" s="1"/>
  <c r="A9" i="34"/>
  <c r="A7" i="34"/>
  <c r="A5" i="34"/>
  <c r="A3" i="34"/>
  <c r="D5" i="34"/>
  <c r="B5" i="34"/>
  <c r="C5" i="34" s="1"/>
  <c r="D3" i="34"/>
  <c r="A25" i="32"/>
  <c r="A21" i="32"/>
  <c r="A19" i="32"/>
  <c r="A17" i="32"/>
  <c r="A15" i="32"/>
  <c r="A13" i="32"/>
  <c r="A11" i="32"/>
  <c r="A9" i="32"/>
  <c r="A7" i="32"/>
  <c r="A5" i="32"/>
  <c r="A3" i="32"/>
  <c r="B13" i="32"/>
  <c r="C13" i="32" s="1"/>
  <c r="A45" i="30"/>
  <c r="A39" i="30"/>
  <c r="A37" i="30"/>
  <c r="A35" i="30"/>
  <c r="A33" i="30"/>
  <c r="A31" i="30"/>
  <c r="A29" i="30"/>
  <c r="A27" i="30"/>
  <c r="A25" i="30"/>
  <c r="A23" i="30"/>
  <c r="A21" i="30"/>
  <c r="B19" i="30"/>
  <c r="C19" i="30" s="1"/>
  <c r="A19" i="30"/>
  <c r="B17" i="30"/>
  <c r="C17" i="30" s="1"/>
  <c r="A17" i="30"/>
  <c r="B15" i="30"/>
  <c r="C15" i="30" s="1"/>
  <c r="A15" i="30"/>
  <c r="B13" i="30"/>
  <c r="C13" i="30" s="1"/>
  <c r="A13" i="30"/>
  <c r="B11" i="30"/>
  <c r="C11" i="30" s="1"/>
  <c r="A11" i="30"/>
  <c r="B9" i="30"/>
  <c r="C9" i="30" s="1"/>
  <c r="A9" i="30"/>
  <c r="B7" i="30"/>
  <c r="C7" i="30" s="1"/>
  <c r="A7" i="30"/>
  <c r="B5" i="30"/>
  <c r="C5" i="30" s="1"/>
  <c r="A5" i="30"/>
  <c r="B3" i="30"/>
  <c r="C3" i="30" s="1"/>
  <c r="A3" i="30"/>
  <c r="B37" i="30"/>
  <c r="C37" i="30" s="1"/>
  <c r="B31" i="30"/>
  <c r="C31" i="30" s="1"/>
  <c r="B27" i="30"/>
  <c r="C27" i="30" s="1"/>
  <c r="B23" i="30"/>
  <c r="C23" i="30" s="1"/>
  <c r="B7" i="34" l="1"/>
  <c r="C7" i="34" s="1"/>
  <c r="B3" i="34"/>
  <c r="C3" i="34" s="1"/>
  <c r="B11" i="32"/>
  <c r="C11" i="32" s="1"/>
  <c r="B17" i="32"/>
  <c r="C17" i="32" s="1"/>
  <c r="B3" i="32"/>
  <c r="C3" i="32" s="1"/>
  <c r="B9" i="32"/>
  <c r="C9" i="32" s="1"/>
  <c r="B19" i="32"/>
  <c r="C19" i="32" s="1"/>
  <c r="B25" i="32"/>
  <c r="C25" i="32" s="1"/>
  <c r="B7" i="32"/>
  <c r="C7" i="32" s="1"/>
  <c r="B15" i="32"/>
  <c r="C15" i="32" s="1"/>
  <c r="B5" i="32"/>
  <c r="C5" i="32" s="1"/>
  <c r="B21" i="32"/>
  <c r="C21" i="32" s="1"/>
  <c r="B33" i="30"/>
  <c r="C33" i="30" s="1"/>
  <c r="B29" i="30"/>
  <c r="C29" i="30" s="1"/>
  <c r="B25" i="30"/>
  <c r="C25" i="30" s="1"/>
  <c r="B21" i="30"/>
  <c r="C21" i="30" s="1"/>
  <c r="B35" i="30"/>
  <c r="C35" i="30" s="1"/>
  <c r="B45" i="30"/>
  <c r="C45" i="30" s="1"/>
  <c r="B39" i="30"/>
  <c r="C39" i="30" s="1"/>
  <c r="D19" i="34"/>
  <c r="E257" i="32"/>
  <c r="D3" i="30"/>
  <c r="B29" i="26" l="1"/>
  <c r="C29" i="26" s="1"/>
  <c r="A29" i="26"/>
  <c r="B27" i="26"/>
  <c r="C27" i="26" s="1"/>
  <c r="A27" i="26"/>
  <c r="B25" i="26"/>
  <c r="C25" i="26" s="1"/>
  <c r="A25" i="26"/>
  <c r="B23" i="26"/>
  <c r="C23" i="26" s="1"/>
  <c r="A23" i="26"/>
  <c r="B21" i="26"/>
  <c r="C21" i="26" s="1"/>
  <c r="A21" i="26"/>
  <c r="B19" i="26"/>
  <c r="C19" i="26" s="1"/>
  <c r="A19" i="26"/>
  <c r="B17" i="26"/>
  <c r="C17" i="26" s="1"/>
  <c r="A17" i="26"/>
  <c r="B15" i="26"/>
  <c r="C15" i="26" s="1"/>
  <c r="A15" i="26"/>
  <c r="A13" i="26"/>
  <c r="B11" i="26"/>
  <c r="C11" i="26" s="1"/>
  <c r="A11" i="26"/>
  <c r="B9" i="26"/>
  <c r="C9" i="26" s="1"/>
  <c r="A9" i="26"/>
  <c r="B7" i="26"/>
  <c r="C7" i="26" s="1"/>
  <c r="A7" i="26"/>
  <c r="B5" i="26"/>
  <c r="C5" i="26" s="1"/>
  <c r="A5" i="26"/>
  <c r="B3" i="26"/>
  <c r="C3" i="26" s="1"/>
  <c r="A3" i="26"/>
  <c r="D21" i="26" l="1"/>
  <c r="B13" i="26" l="1"/>
  <c r="C13" i="26" s="1"/>
  <c r="D7" i="26"/>
  <c r="B45" i="24"/>
  <c r="C45" i="24" s="1"/>
  <c r="A45" i="24"/>
  <c r="B43" i="24"/>
  <c r="C43" i="24" s="1"/>
  <c r="A43" i="24"/>
  <c r="B41" i="24"/>
  <c r="C41" i="24" s="1"/>
  <c r="A41" i="24"/>
  <c r="B39" i="24"/>
  <c r="C39" i="24" s="1"/>
  <c r="A39" i="24"/>
  <c r="A33" i="24"/>
  <c r="B31" i="24"/>
  <c r="C31" i="24" s="1"/>
  <c r="A31" i="24"/>
  <c r="A29" i="24"/>
  <c r="B25" i="24"/>
  <c r="C25" i="24" s="1"/>
  <c r="A25" i="24"/>
  <c r="B23" i="24"/>
  <c r="C23" i="24" s="1"/>
  <c r="A23" i="24"/>
  <c r="B21" i="24"/>
  <c r="C21" i="24" s="1"/>
  <c r="A21" i="24"/>
  <c r="B19" i="24"/>
  <c r="C19" i="24" s="1"/>
  <c r="A19" i="24"/>
  <c r="B17" i="24"/>
  <c r="C17" i="24" s="1"/>
  <c r="A17" i="24"/>
  <c r="B15" i="24"/>
  <c r="C15" i="24" s="1"/>
  <c r="A15" i="24"/>
  <c r="A13" i="24"/>
  <c r="A7" i="24"/>
  <c r="A5" i="24"/>
  <c r="A3" i="24"/>
  <c r="D25" i="24" l="1"/>
  <c r="B5" i="24"/>
  <c r="C5" i="24" s="1"/>
  <c r="B3" i="24"/>
  <c r="C3" i="24" s="1"/>
  <c r="B7" i="24" l="1"/>
  <c r="C7" i="24" s="1"/>
  <c r="B29" i="24"/>
  <c r="C29" i="24" s="1"/>
  <c r="B13" i="24"/>
  <c r="C13" i="24" s="1"/>
  <c r="B33" i="24"/>
  <c r="C33" i="24" s="1"/>
  <c r="B9" i="21" l="1"/>
  <c r="C9" i="21" s="1"/>
  <c r="A9" i="21"/>
  <c r="B7" i="21"/>
  <c r="C7" i="21" s="1"/>
  <c r="A7" i="21"/>
  <c r="B5" i="21"/>
  <c r="C5" i="21" s="1"/>
  <c r="A5" i="21"/>
  <c r="B3" i="21"/>
  <c r="A3" i="21"/>
  <c r="B23" i="22"/>
  <c r="C23" i="22" s="1"/>
  <c r="A23" i="22"/>
  <c r="B21" i="22"/>
  <c r="C21" i="22" s="1"/>
  <c r="A21" i="22"/>
  <c r="B19" i="22"/>
  <c r="C19" i="22" s="1"/>
  <c r="A19" i="22"/>
  <c r="B17" i="22"/>
  <c r="C17" i="22" s="1"/>
  <c r="A17" i="22"/>
  <c r="B15" i="22"/>
  <c r="C15" i="22" s="1"/>
  <c r="A15" i="22"/>
  <c r="B13" i="22"/>
  <c r="C13" i="22" s="1"/>
  <c r="A13" i="22"/>
  <c r="B11" i="22"/>
  <c r="C11" i="22" s="1"/>
  <c r="A11" i="22"/>
  <c r="B9" i="22"/>
  <c r="C9" i="22" s="1"/>
  <c r="A9" i="22"/>
  <c r="B7" i="22"/>
  <c r="C7" i="22" s="1"/>
  <c r="A7" i="22"/>
  <c r="B5" i="22"/>
  <c r="C5" i="22" s="1"/>
  <c r="A5" i="22"/>
  <c r="B3" i="22"/>
  <c r="C3" i="22" s="1"/>
  <c r="A3" i="22"/>
  <c r="C3" i="21"/>
  <c r="A7" i="18"/>
  <c r="A5" i="18"/>
  <c r="B3" i="18"/>
  <c r="C3" i="18" s="1"/>
  <c r="A3" i="18"/>
  <c r="B5" i="18"/>
  <c r="C5" i="18" s="1"/>
  <c r="B7" i="18" l="1"/>
  <c r="C7" i="18" s="1"/>
  <c r="D21" i="22"/>
  <c r="B175" i="14"/>
  <c r="C175" i="14" s="1"/>
  <c r="A175" i="14"/>
  <c r="B173" i="14"/>
  <c r="C173" i="14" s="1"/>
  <c r="A173" i="14"/>
  <c r="B171" i="14"/>
  <c r="C171" i="14" s="1"/>
  <c r="A171" i="14"/>
  <c r="B169" i="14"/>
  <c r="C169" i="14" s="1"/>
  <c r="A169" i="14"/>
  <c r="B167" i="14"/>
  <c r="C167" i="14" s="1"/>
  <c r="A167" i="14"/>
  <c r="B165" i="14"/>
  <c r="C165" i="14" s="1"/>
  <c r="A165" i="14"/>
  <c r="B163" i="14"/>
  <c r="C163" i="14" s="1"/>
  <c r="A163" i="14"/>
  <c r="B161" i="14"/>
  <c r="C161" i="14" s="1"/>
  <c r="A161" i="14"/>
  <c r="B159" i="14"/>
  <c r="C159" i="14" s="1"/>
  <c r="A159" i="14"/>
  <c r="B157" i="14"/>
  <c r="C157" i="14" s="1"/>
  <c r="A157" i="14"/>
  <c r="B155" i="14"/>
  <c r="C155" i="14" s="1"/>
  <c r="A155" i="14"/>
  <c r="B153" i="14"/>
  <c r="C153" i="14" s="1"/>
  <c r="A153" i="14"/>
  <c r="B151" i="14"/>
  <c r="C151" i="14" s="1"/>
  <c r="A151" i="14"/>
  <c r="B149" i="14"/>
  <c r="C149" i="14" s="1"/>
  <c r="A149" i="14"/>
  <c r="B147" i="14"/>
  <c r="C147" i="14" s="1"/>
  <c r="A147" i="14"/>
  <c r="B145" i="14"/>
  <c r="C145" i="14" s="1"/>
  <c r="A145" i="14"/>
  <c r="B143" i="14"/>
  <c r="C143" i="14" s="1"/>
  <c r="A143" i="14"/>
  <c r="B141" i="14"/>
  <c r="C141" i="14" s="1"/>
  <c r="A141" i="14"/>
  <c r="B139" i="14"/>
  <c r="C139" i="14" s="1"/>
  <c r="A139" i="14"/>
  <c r="B137" i="14"/>
  <c r="C137" i="14" s="1"/>
  <c r="A137" i="14"/>
  <c r="B135" i="14"/>
  <c r="C135" i="14" s="1"/>
  <c r="A135" i="14"/>
  <c r="B133" i="14"/>
  <c r="C133" i="14" s="1"/>
  <c r="A133" i="14"/>
  <c r="B131" i="14"/>
  <c r="C131" i="14" s="1"/>
  <c r="A131" i="14"/>
  <c r="B129" i="14"/>
  <c r="C129" i="14" s="1"/>
  <c r="A129" i="14"/>
  <c r="B127" i="14"/>
  <c r="C127" i="14" s="1"/>
  <c r="A127" i="14"/>
  <c r="B125" i="14"/>
  <c r="C125" i="14" s="1"/>
  <c r="A125" i="14"/>
  <c r="B123" i="14"/>
  <c r="C123" i="14" s="1"/>
  <c r="A123" i="14"/>
  <c r="B121" i="14"/>
  <c r="C121" i="14" s="1"/>
  <c r="A121" i="14"/>
  <c r="B119" i="14"/>
  <c r="C119" i="14" s="1"/>
  <c r="A119" i="14"/>
  <c r="B117" i="14"/>
  <c r="C117" i="14" s="1"/>
  <c r="A117" i="14"/>
  <c r="B115" i="14"/>
  <c r="C115" i="14" s="1"/>
  <c r="A115" i="14"/>
  <c r="B113" i="14"/>
  <c r="C113" i="14" s="1"/>
  <c r="A113" i="14"/>
  <c r="B111" i="14"/>
  <c r="C111" i="14" s="1"/>
  <c r="A111" i="14"/>
  <c r="B109" i="14"/>
  <c r="C109" i="14" s="1"/>
  <c r="A109" i="14"/>
  <c r="B107" i="14"/>
  <c r="C107" i="14" s="1"/>
  <c r="A107" i="14"/>
  <c r="B105" i="14"/>
  <c r="C105" i="14" s="1"/>
  <c r="A105" i="14"/>
  <c r="B103" i="14"/>
  <c r="C103" i="14" s="1"/>
  <c r="A103" i="14"/>
  <c r="B101" i="14"/>
  <c r="C101" i="14" s="1"/>
  <c r="A101" i="14"/>
  <c r="B99" i="14"/>
  <c r="C99" i="14" s="1"/>
  <c r="A99" i="14"/>
  <c r="B97" i="14"/>
  <c r="C97" i="14" s="1"/>
  <c r="A97" i="14"/>
  <c r="B95" i="14"/>
  <c r="C95" i="14" s="1"/>
  <c r="A95" i="14"/>
  <c r="B93" i="14"/>
  <c r="C93" i="14" s="1"/>
  <c r="A93" i="14"/>
  <c r="B91" i="14"/>
  <c r="C91" i="14" s="1"/>
  <c r="A91" i="14"/>
  <c r="B89" i="14"/>
  <c r="C89" i="14" s="1"/>
  <c r="A89" i="14"/>
  <c r="B87" i="14"/>
  <c r="C87" i="14" s="1"/>
  <c r="A87" i="14"/>
  <c r="B85" i="14"/>
  <c r="C85" i="14" s="1"/>
  <c r="A85" i="14"/>
  <c r="B83" i="14"/>
  <c r="C83" i="14" s="1"/>
  <c r="A83" i="14"/>
  <c r="B81" i="14"/>
  <c r="C81" i="14" s="1"/>
  <c r="A81" i="14"/>
  <c r="B79" i="14"/>
  <c r="C79" i="14" s="1"/>
  <c r="A79" i="14"/>
  <c r="B77" i="14"/>
  <c r="C77" i="14" s="1"/>
  <c r="A77" i="14"/>
  <c r="B75" i="14"/>
  <c r="C75" i="14" s="1"/>
  <c r="A75" i="14"/>
  <c r="B73" i="14"/>
  <c r="C73" i="14" s="1"/>
  <c r="A73" i="14"/>
  <c r="B71" i="14"/>
  <c r="C71" i="14" s="1"/>
  <c r="A71" i="14"/>
  <c r="B69" i="14"/>
  <c r="C69" i="14" s="1"/>
  <c r="A69" i="14"/>
  <c r="B67" i="14"/>
  <c r="C67" i="14" s="1"/>
  <c r="A67" i="14"/>
  <c r="B65" i="14"/>
  <c r="C65" i="14" s="1"/>
  <c r="A65" i="14"/>
  <c r="B63" i="14"/>
  <c r="C63" i="14" s="1"/>
  <c r="A63" i="14"/>
  <c r="B61" i="14"/>
  <c r="C61" i="14" s="1"/>
  <c r="A61" i="14"/>
  <c r="B59" i="14"/>
  <c r="C59" i="14" s="1"/>
  <c r="A59" i="14"/>
  <c r="B57" i="14"/>
  <c r="C57" i="14" s="1"/>
  <c r="A57" i="14"/>
  <c r="B55" i="14"/>
  <c r="C55" i="14" s="1"/>
  <c r="A55" i="14"/>
  <c r="B53" i="14"/>
  <c r="C53" i="14" s="1"/>
  <c r="A53" i="14"/>
  <c r="B51" i="14"/>
  <c r="C51" i="14" s="1"/>
  <c r="A51" i="14"/>
  <c r="B49" i="14"/>
  <c r="C49" i="14" s="1"/>
  <c r="A49" i="14"/>
  <c r="B47" i="14"/>
  <c r="C47" i="14" s="1"/>
  <c r="A47" i="14"/>
  <c r="B45" i="14"/>
  <c r="C45" i="14" s="1"/>
  <c r="A45" i="14"/>
  <c r="B43" i="14"/>
  <c r="C43" i="14" s="1"/>
  <c r="A43" i="14"/>
  <c r="B41" i="14"/>
  <c r="C41" i="14" s="1"/>
  <c r="A41" i="14"/>
  <c r="B39" i="14"/>
  <c r="C39" i="14" s="1"/>
  <c r="A39" i="14"/>
  <c r="B37" i="14"/>
  <c r="C37" i="14" s="1"/>
  <c r="A37" i="14"/>
  <c r="B35" i="14"/>
  <c r="C35" i="14" s="1"/>
  <c r="A35" i="14"/>
  <c r="B33" i="14"/>
  <c r="C33" i="14" s="1"/>
  <c r="A33" i="14"/>
  <c r="B31" i="14"/>
  <c r="C31" i="14" s="1"/>
  <c r="A31" i="14"/>
  <c r="B29" i="14"/>
  <c r="C29" i="14" s="1"/>
  <c r="A29" i="14"/>
  <c r="B27" i="14"/>
  <c r="C27" i="14" s="1"/>
  <c r="A27" i="14"/>
  <c r="B25" i="14"/>
  <c r="C25" i="14" s="1"/>
  <c r="A25" i="14"/>
  <c r="B23" i="14"/>
  <c r="C23" i="14" s="1"/>
  <c r="A23" i="14"/>
  <c r="B19" i="14"/>
  <c r="C19" i="14" s="1"/>
  <c r="A19" i="14"/>
  <c r="B17" i="14"/>
  <c r="C17" i="14" s="1"/>
  <c r="A17" i="14"/>
  <c r="B15" i="14"/>
  <c r="C15" i="14" s="1"/>
  <c r="A15" i="14"/>
  <c r="B13" i="14"/>
  <c r="C13" i="14" s="1"/>
  <c r="A13" i="14"/>
  <c r="B11" i="14"/>
  <c r="C11" i="14" s="1"/>
  <c r="A11" i="14"/>
  <c r="B9" i="14"/>
  <c r="C9" i="14" s="1"/>
  <c r="A9" i="14"/>
  <c r="B7" i="14"/>
  <c r="C7" i="14" s="1"/>
  <c r="A7" i="14"/>
  <c r="B5" i="14"/>
  <c r="C5" i="14" s="1"/>
  <c r="A5" i="14"/>
  <c r="B3" i="14"/>
  <c r="C3" i="14" s="1"/>
  <c r="A3" i="14"/>
  <c r="D171" i="14"/>
  <c r="D169" i="14"/>
  <c r="D167" i="14"/>
  <c r="D165" i="14"/>
  <c r="D163" i="14"/>
  <c r="D161" i="14"/>
  <c r="D159" i="14"/>
  <c r="D157" i="14"/>
  <c r="D155" i="14"/>
  <c r="D153" i="14"/>
  <c r="D151" i="14"/>
  <c r="D149" i="14"/>
  <c r="D147" i="14"/>
  <c r="E145" i="14"/>
  <c r="D143" i="14"/>
  <c r="D141" i="14"/>
  <c r="D139" i="14"/>
  <c r="D137" i="14"/>
  <c r="D135" i="14"/>
  <c r="D133" i="14"/>
  <c r="D131" i="14"/>
  <c r="D129" i="14"/>
  <c r="D127" i="14"/>
  <c r="D125" i="14"/>
  <c r="D123" i="14"/>
  <c r="D121" i="14"/>
  <c r="D119" i="14"/>
  <c r="D117" i="14"/>
  <c r="D115" i="14"/>
  <c r="D113" i="14"/>
  <c r="D111" i="14"/>
  <c r="D109" i="14"/>
  <c r="D107" i="14"/>
  <c r="D105" i="14"/>
  <c r="D103" i="14"/>
  <c r="D101" i="14"/>
  <c r="D99" i="14"/>
  <c r="D97" i="14"/>
  <c r="D95" i="14"/>
  <c r="D93" i="14"/>
  <c r="D91" i="14"/>
  <c r="D89" i="14"/>
  <c r="D87" i="14"/>
  <c r="D85" i="14"/>
  <c r="D83" i="14"/>
  <c r="D81" i="14"/>
  <c r="D79" i="14"/>
  <c r="D77" i="14"/>
  <c r="D75" i="14"/>
  <c r="D73" i="14"/>
  <c r="D71" i="14"/>
  <c r="D69" i="14"/>
  <c r="D67" i="14"/>
  <c r="D65" i="14"/>
  <c r="D63" i="14"/>
  <c r="D61" i="14"/>
  <c r="D59" i="14"/>
  <c r="D57" i="14"/>
  <c r="D55" i="14"/>
  <c r="D53" i="14"/>
  <c r="D51" i="14"/>
  <c r="D49" i="14"/>
  <c r="D47" i="14"/>
  <c r="D45" i="14"/>
  <c r="D43" i="14"/>
  <c r="E41" i="14"/>
  <c r="D39" i="14"/>
  <c r="D37" i="14"/>
  <c r="D35" i="14"/>
  <c r="D33" i="14"/>
  <c r="D31" i="14"/>
  <c r="D29" i="14"/>
  <c r="D27" i="14"/>
  <c r="D25" i="14"/>
  <c r="D23" i="14"/>
  <c r="D19" i="14"/>
  <c r="D17" i="14"/>
  <c r="D15" i="14"/>
  <c r="D13" i="14"/>
  <c r="D11" i="14"/>
  <c r="D9" i="14"/>
  <c r="D7" i="14"/>
  <c r="B17" i="12"/>
  <c r="C17" i="12" s="1"/>
  <c r="A17" i="12"/>
  <c r="B15" i="12"/>
  <c r="C15" i="12" s="1"/>
  <c r="A15" i="12"/>
  <c r="B13" i="12"/>
  <c r="C13" i="12" s="1"/>
  <c r="A13" i="12"/>
  <c r="B11" i="12"/>
  <c r="C11" i="12" s="1"/>
  <c r="A11" i="12"/>
  <c r="B9" i="12"/>
  <c r="C9" i="12" s="1"/>
  <c r="A9" i="12"/>
  <c r="B7" i="12"/>
  <c r="C7" i="12" s="1"/>
  <c r="A7" i="12"/>
  <c r="B5" i="12"/>
  <c r="C5" i="12" s="1"/>
  <c r="A5" i="12"/>
  <c r="B3" i="12"/>
  <c r="C3" i="12" s="1"/>
  <c r="A3" i="12"/>
  <c r="D17" i="12"/>
  <c r="D15" i="12"/>
  <c r="D13" i="12"/>
  <c r="D11" i="12"/>
  <c r="D9" i="12"/>
  <c r="D7" i="12"/>
  <c r="D5" i="12"/>
  <c r="D3" i="12"/>
  <c r="D3" i="14" l="1"/>
  <c r="D5" i="14"/>
  <c r="D21" i="14"/>
  <c r="D173" i="14"/>
  <c r="U137" i="1" l="1"/>
  <c r="U135" i="1"/>
  <c r="U133" i="1"/>
  <c r="U131" i="1"/>
  <c r="U89" i="1"/>
  <c r="U87" i="1"/>
  <c r="U85" i="1"/>
  <c r="U83" i="1"/>
  <c r="U81" i="1"/>
  <c r="U79" i="1"/>
  <c r="U77" i="1"/>
  <c r="U75" i="1"/>
  <c r="U73" i="1"/>
  <c r="U71" i="1"/>
  <c r="U63" i="1"/>
  <c r="U61" i="1"/>
  <c r="U59" i="1"/>
  <c r="U57" i="1"/>
  <c r="U55" i="1"/>
  <c r="U53" i="1"/>
  <c r="U51" i="1"/>
  <c r="U49" i="1"/>
  <c r="U47" i="1"/>
  <c r="U45" i="1"/>
  <c r="U43" i="1"/>
  <c r="U41" i="1"/>
  <c r="U35" i="1"/>
  <c r="U33" i="1"/>
  <c r="U27" i="1"/>
  <c r="U25" i="1"/>
  <c r="U23" i="1"/>
  <c r="U21" i="1"/>
  <c r="U19" i="1"/>
  <c r="U17" i="1"/>
  <c r="U15" i="1"/>
  <c r="U13" i="1"/>
  <c r="U11" i="1"/>
  <c r="U9" i="1"/>
  <c r="U7" i="1"/>
  <c r="X143" i="1" l="1"/>
  <c r="X142" i="1"/>
  <c r="X141" i="1"/>
  <c r="X140" i="1"/>
  <c r="X139" i="1"/>
  <c r="N142" i="1"/>
  <c r="N141" i="1"/>
  <c r="N140" i="1"/>
  <c r="N139" i="1"/>
  <c r="V143" i="1" l="1"/>
  <c r="V142" i="1"/>
  <c r="V141" i="1"/>
  <c r="V140" i="1"/>
  <c r="V139" i="1"/>
  <c r="T140" i="1" l="1"/>
  <c r="T139" i="1"/>
  <c r="G143" i="1"/>
  <c r="G142" i="1"/>
  <c r="G141" i="1"/>
  <c r="G140" i="1"/>
  <c r="G139" i="1"/>
  <c r="W131" i="1"/>
  <c r="W133" i="1"/>
  <c r="W135" i="1"/>
  <c r="O140" i="1"/>
  <c r="O139" i="1"/>
  <c r="M140" i="1" l="1"/>
  <c r="M139" i="1"/>
  <c r="Q149" i="1" l="1"/>
  <c r="Q148" i="1"/>
  <c r="Q146" i="1"/>
  <c r="Q147" i="1"/>
  <c r="Q145" i="1"/>
  <c r="Q144" i="1"/>
  <c r="Q143" i="1"/>
  <c r="Q142" i="1"/>
  <c r="Q141" i="1"/>
  <c r="Q140" i="1"/>
  <c r="Q139" i="1"/>
  <c r="D143" i="1"/>
  <c r="D142" i="1"/>
  <c r="D140" i="1"/>
  <c r="D141" i="1"/>
  <c r="D139" i="1"/>
  <c r="AS7" i="1" l="1"/>
  <c r="AS11" i="1"/>
  <c r="AS13" i="1"/>
  <c r="AS15" i="1"/>
  <c r="AS17" i="1"/>
  <c r="AS19" i="1"/>
  <c r="AS21" i="1"/>
  <c r="AS23" i="1"/>
  <c r="AS51" i="1"/>
  <c r="AS53" i="1"/>
  <c r="AS55" i="1"/>
  <c r="AS57" i="1"/>
  <c r="AS59" i="1"/>
  <c r="AS61" i="1"/>
  <c r="AS63" i="1"/>
  <c r="AS81" i="1"/>
  <c r="AS131" i="1"/>
  <c r="AS133" i="1"/>
  <c r="AS135" i="1"/>
  <c r="AS137" i="1"/>
  <c r="F141" i="1" l="1"/>
  <c r="F140" i="1"/>
  <c r="F139" i="1"/>
  <c r="F143" i="1"/>
  <c r="F142" i="1"/>
  <c r="L137" i="1"/>
  <c r="L135" i="1"/>
  <c r="L133" i="1"/>
  <c r="L131" i="1"/>
  <c r="L89" i="1"/>
  <c r="L87" i="1"/>
  <c r="L85" i="1"/>
  <c r="L83" i="1"/>
  <c r="L81" i="1"/>
  <c r="L79" i="1"/>
  <c r="L77" i="1"/>
  <c r="L75" i="1"/>
  <c r="L73" i="1"/>
  <c r="L71" i="1"/>
  <c r="L63" i="1"/>
  <c r="L61" i="1"/>
  <c r="L59" i="1"/>
  <c r="L57" i="1"/>
  <c r="L55" i="1"/>
  <c r="L53" i="1"/>
  <c r="L51" i="1"/>
  <c r="L49" i="1"/>
  <c r="L47" i="1"/>
  <c r="L45" i="1"/>
  <c r="L43" i="1"/>
  <c r="L41" i="1"/>
  <c r="L35" i="1"/>
  <c r="L33" i="1"/>
  <c r="L27" i="1"/>
  <c r="L25" i="1"/>
  <c r="L23" i="1"/>
  <c r="L21" i="1"/>
  <c r="L19" i="1"/>
  <c r="L17" i="1"/>
  <c r="L15" i="1"/>
  <c r="L13" i="1"/>
  <c r="L11" i="1"/>
  <c r="L9" i="1"/>
  <c r="L7" i="1"/>
  <c r="K137" i="1"/>
  <c r="K135" i="1"/>
  <c r="K133" i="1"/>
  <c r="K131" i="1"/>
  <c r="K89" i="1"/>
  <c r="K87" i="1"/>
  <c r="K85" i="1"/>
  <c r="K83" i="1"/>
  <c r="K81" i="1"/>
  <c r="K79" i="1"/>
  <c r="K77" i="1"/>
  <c r="K75" i="1"/>
  <c r="K73" i="1"/>
  <c r="K71" i="1"/>
  <c r="K63" i="1"/>
  <c r="K61" i="1"/>
  <c r="K59" i="1"/>
  <c r="K57" i="1"/>
  <c r="K55" i="1"/>
  <c r="K53" i="1"/>
  <c r="K51" i="1"/>
  <c r="K49" i="1"/>
  <c r="K47" i="1"/>
  <c r="K45" i="1"/>
  <c r="K43" i="1"/>
  <c r="K41" i="1"/>
  <c r="K35" i="1"/>
  <c r="K33" i="1"/>
  <c r="K27" i="1"/>
  <c r="K25" i="1"/>
  <c r="K23" i="1"/>
  <c r="K21" i="1"/>
  <c r="K19" i="1"/>
  <c r="K17" i="1"/>
  <c r="K15" i="1"/>
  <c r="K13" i="1"/>
  <c r="K11" i="1"/>
  <c r="K9" i="1"/>
  <c r="K7" i="1"/>
  <c r="R137" i="1"/>
  <c r="R135" i="1"/>
  <c r="R133" i="1"/>
  <c r="R131" i="1"/>
  <c r="R89" i="1"/>
  <c r="R87" i="1"/>
  <c r="R85" i="1"/>
  <c r="R83" i="1"/>
  <c r="R81" i="1"/>
  <c r="R79" i="1"/>
  <c r="R77" i="1"/>
  <c r="R75" i="1"/>
  <c r="R73" i="1"/>
  <c r="R71" i="1"/>
  <c r="R63" i="1"/>
  <c r="R61" i="1"/>
  <c r="R59" i="1"/>
  <c r="R57" i="1"/>
  <c r="R55" i="1"/>
  <c r="R53" i="1"/>
  <c r="R51" i="1"/>
  <c r="R49" i="1"/>
  <c r="R47" i="1"/>
  <c r="R45" i="1"/>
  <c r="R43" i="1"/>
  <c r="R41" i="1"/>
  <c r="R35" i="1"/>
  <c r="R33" i="1"/>
  <c r="R27" i="1"/>
  <c r="R25" i="1"/>
  <c r="R23" i="1"/>
  <c r="R21" i="1"/>
  <c r="R19" i="1"/>
  <c r="R17" i="1"/>
  <c r="R15" i="1"/>
  <c r="R13" i="1"/>
  <c r="R11" i="1"/>
  <c r="R9" i="1"/>
  <c r="R7" i="1"/>
  <c r="L145" i="1" l="1"/>
  <c r="L141" i="1"/>
  <c r="L144" i="1"/>
  <c r="L142" i="1"/>
  <c r="L140" i="1"/>
  <c r="L139" i="1"/>
  <c r="L143" i="1"/>
  <c r="AC67" i="1" l="1"/>
  <c r="AD67" i="1" s="1"/>
  <c r="AC69" i="1" l="1"/>
  <c r="AD69" i="1" s="1"/>
  <c r="AC31" i="1" l="1"/>
  <c r="AD31" i="1" s="1"/>
  <c r="AT7" i="1" l="1"/>
  <c r="AR7" i="1"/>
  <c r="AQ7" i="1"/>
  <c r="AP7" i="1"/>
  <c r="AO7" i="1"/>
  <c r="AN7" i="1"/>
  <c r="AM7" i="1"/>
  <c r="AL7" i="1"/>
  <c r="AK7" i="1"/>
  <c r="AJ7" i="1"/>
  <c r="AI7" i="1"/>
  <c r="AG7" i="1"/>
  <c r="AC7" i="1"/>
  <c r="W137" i="1" l="1"/>
  <c r="W89" i="1"/>
  <c r="W87" i="1"/>
  <c r="W85" i="1"/>
  <c r="W83" i="1"/>
  <c r="W81" i="1"/>
  <c r="W79" i="1"/>
  <c r="W77" i="1"/>
  <c r="W75" i="1"/>
  <c r="W73" i="1"/>
  <c r="W71" i="1"/>
  <c r="W63" i="1"/>
  <c r="W61" i="1"/>
  <c r="W59" i="1"/>
  <c r="W57" i="1"/>
  <c r="W55" i="1"/>
  <c r="W53" i="1"/>
  <c r="W51" i="1"/>
  <c r="W49" i="1"/>
  <c r="W47" i="1"/>
  <c r="W45" i="1"/>
  <c r="W43" i="1"/>
  <c r="W41" i="1"/>
  <c r="W35" i="1"/>
  <c r="W33" i="1"/>
  <c r="W27" i="1"/>
  <c r="W25" i="1"/>
  <c r="W23" i="1"/>
  <c r="W21" i="1"/>
  <c r="W19" i="1"/>
  <c r="W17" i="1"/>
  <c r="W15" i="1"/>
  <c r="W13" i="1"/>
  <c r="W11" i="1"/>
  <c r="W9" i="1"/>
  <c r="W7" i="1"/>
  <c r="W143" i="1" l="1"/>
  <c r="W142" i="1"/>
  <c r="W141" i="1"/>
  <c r="W140" i="1"/>
  <c r="W139" i="1"/>
  <c r="AF137" i="1" l="1"/>
  <c r="AF135" i="1"/>
  <c r="AF133" i="1"/>
  <c r="AF131" i="1"/>
  <c r="AF89" i="1"/>
  <c r="AF87" i="1"/>
  <c r="AF85" i="1"/>
  <c r="AF83" i="1"/>
  <c r="AF81" i="1"/>
  <c r="AF79" i="1"/>
  <c r="AF77" i="1"/>
  <c r="AF75" i="1"/>
  <c r="AF73" i="1"/>
  <c r="AF71" i="1"/>
  <c r="AF63" i="1"/>
  <c r="AF61" i="1"/>
  <c r="AF59" i="1"/>
  <c r="AF57" i="1"/>
  <c r="AF55" i="1"/>
  <c r="AF53" i="1"/>
  <c r="AF51" i="1"/>
  <c r="AF49" i="1"/>
  <c r="AF47" i="1"/>
  <c r="AF45" i="1"/>
  <c r="AF43" i="1"/>
  <c r="AF41" i="1"/>
  <c r="AF35" i="1"/>
  <c r="AF33" i="1"/>
  <c r="AF27" i="1"/>
  <c r="AF25" i="1"/>
  <c r="AF23" i="1"/>
  <c r="AF21" i="1"/>
  <c r="AF19" i="1"/>
  <c r="AF17" i="1"/>
  <c r="AF15" i="1"/>
  <c r="AF13" i="1"/>
  <c r="AF11" i="1"/>
  <c r="AF9" i="1"/>
  <c r="AF7" i="1"/>
  <c r="Y137" i="1"/>
  <c r="Y135" i="1"/>
  <c r="Y133" i="1"/>
  <c r="Y131" i="1"/>
  <c r="Y89" i="1"/>
  <c r="AE89" i="1" s="1"/>
  <c r="Y87" i="1"/>
  <c r="AE87" i="1" s="1"/>
  <c r="Y85" i="1"/>
  <c r="AE85" i="1" s="1"/>
  <c r="Y83" i="1"/>
  <c r="AE83" i="1" s="1"/>
  <c r="Y81" i="1"/>
  <c r="Y75" i="1"/>
  <c r="AE75" i="1" s="1"/>
  <c r="Y63" i="1"/>
  <c r="AE63" i="1" s="1"/>
  <c r="Y61" i="1"/>
  <c r="AE61" i="1" s="1"/>
  <c r="Y59" i="1"/>
  <c r="AE59" i="1" s="1"/>
  <c r="Y57" i="1"/>
  <c r="AE57" i="1" s="1"/>
  <c r="Y55" i="1"/>
  <c r="AE55" i="1" s="1"/>
  <c r="Y53" i="1"/>
  <c r="AE53" i="1" s="1"/>
  <c r="Y51" i="1"/>
  <c r="AE51" i="1" s="1"/>
  <c r="Y47" i="1"/>
  <c r="AE47" i="1" s="1"/>
  <c r="Y45" i="1"/>
  <c r="AE45" i="1" s="1"/>
  <c r="Y43" i="1"/>
  <c r="AE43" i="1" s="1"/>
  <c r="Y41" i="1"/>
  <c r="AE41" i="1" s="1"/>
  <c r="Y27" i="1"/>
  <c r="AE27" i="1" s="1"/>
  <c r="Y25" i="1"/>
  <c r="AE25" i="1" s="1"/>
  <c r="Y23" i="1"/>
  <c r="AE23" i="1" s="1"/>
  <c r="Y21" i="1"/>
  <c r="AE21" i="1" s="1"/>
  <c r="Y19" i="1"/>
  <c r="Y17" i="1"/>
  <c r="AE17" i="1" s="1"/>
  <c r="Y15" i="1"/>
  <c r="AE15" i="1" s="1"/>
  <c r="Y13" i="1"/>
  <c r="AE13" i="1" s="1"/>
  <c r="Y11" i="1"/>
  <c r="AE11" i="1" s="1"/>
  <c r="Y9" i="1"/>
  <c r="Y7" i="1"/>
  <c r="AE7" i="1" s="1"/>
  <c r="AB89" i="1" l="1"/>
  <c r="AB87" i="1"/>
  <c r="AB85" i="1"/>
  <c r="AB83" i="1"/>
  <c r="AB75" i="1"/>
  <c r="AB73" i="1"/>
  <c r="AB71" i="1"/>
  <c r="AB63" i="1"/>
  <c r="AB61" i="1"/>
  <c r="AB59" i="1"/>
  <c r="AB57" i="1"/>
  <c r="AB55" i="1"/>
  <c r="AB53" i="1"/>
  <c r="AB51" i="1"/>
  <c r="AB49" i="1"/>
  <c r="AB47" i="1"/>
  <c r="AB45" i="1"/>
  <c r="AB43" i="1"/>
  <c r="AB41" i="1"/>
  <c r="AB35" i="1"/>
  <c r="AB33" i="1"/>
  <c r="AB27" i="1"/>
  <c r="AB25" i="1"/>
  <c r="AB23" i="1"/>
  <c r="AB21" i="1"/>
  <c r="AB17" i="1"/>
  <c r="AB15" i="1"/>
  <c r="AB13" i="1"/>
  <c r="AB11" i="1"/>
  <c r="AB7" i="1"/>
  <c r="AG75" i="1" l="1"/>
  <c r="AG17" i="1"/>
  <c r="AG19" i="1"/>
  <c r="AG81" i="1"/>
  <c r="AG49" i="1"/>
  <c r="AG79" i="1"/>
  <c r="AG77" i="1"/>
  <c r="AG73" i="1"/>
  <c r="AG71" i="1"/>
  <c r="AG47" i="1"/>
  <c r="AG45" i="1"/>
  <c r="AG43" i="1"/>
  <c r="AG41" i="1"/>
  <c r="AG89" i="1"/>
  <c r="AG87" i="1"/>
  <c r="AG85" i="1"/>
  <c r="AG83" i="1"/>
  <c r="AG63" i="1"/>
  <c r="AG61" i="1"/>
  <c r="AG59" i="1"/>
  <c r="AG57" i="1"/>
  <c r="AG55" i="1"/>
  <c r="AG53" i="1"/>
  <c r="AG51" i="1"/>
  <c r="AG35" i="1"/>
  <c r="AG33" i="1"/>
  <c r="AG27" i="1"/>
  <c r="AG25" i="1"/>
  <c r="AG23" i="1"/>
  <c r="AG21" i="1"/>
  <c r="AG15" i="1"/>
  <c r="AG13" i="1"/>
  <c r="AG11" i="1"/>
  <c r="AG9" i="1"/>
  <c r="AY78" i="1" l="1"/>
  <c r="AX78" i="1"/>
  <c r="AW78" i="1"/>
  <c r="AV78" i="1"/>
  <c r="AY76" i="1"/>
  <c r="AX76" i="1"/>
  <c r="AW76" i="1"/>
  <c r="AV76" i="1"/>
  <c r="AV48" i="1"/>
  <c r="AW48" i="1"/>
  <c r="AX48" i="1"/>
  <c r="AY48" i="1"/>
  <c r="AZ48" i="1"/>
  <c r="AY46" i="1"/>
  <c r="AX46" i="1"/>
  <c r="AW46" i="1"/>
  <c r="AY44" i="1"/>
  <c r="AX44" i="1"/>
  <c r="AW44" i="1"/>
  <c r="AY42" i="1"/>
  <c r="AX42" i="1"/>
  <c r="AW42" i="1"/>
  <c r="Y49" i="1" l="1"/>
  <c r="AE49" i="1" s="1"/>
  <c r="Y77" i="1"/>
  <c r="Y79" i="1"/>
  <c r="AW40" i="1"/>
  <c r="AX34" i="1" l="1"/>
  <c r="AW34" i="1"/>
  <c r="AV34" i="1"/>
  <c r="AW32" i="1"/>
  <c r="AV32" i="1"/>
  <c r="Y35" i="1" l="1"/>
  <c r="AE35" i="1" s="1"/>
  <c r="Y33" i="1"/>
  <c r="AE33" i="1" s="1"/>
  <c r="AX86" i="1" l="1"/>
  <c r="AW86" i="1"/>
  <c r="AX84" i="1"/>
  <c r="AW84" i="1"/>
  <c r="AX82" i="1"/>
  <c r="AW82" i="1"/>
  <c r="AX26" i="1"/>
  <c r="AW26" i="1"/>
  <c r="AX24" i="1"/>
  <c r="AW24" i="1"/>
  <c r="AC39" i="1" l="1"/>
  <c r="AD39" i="1" s="1"/>
  <c r="AY72" i="1" l="1"/>
  <c r="AX72" i="1"/>
  <c r="AW72" i="1"/>
  <c r="AV72" i="1"/>
  <c r="AY70" i="1"/>
  <c r="AX70" i="1"/>
  <c r="AW70" i="1"/>
  <c r="AV70" i="1"/>
  <c r="AS71" i="1" l="1"/>
  <c r="Y71" i="1"/>
  <c r="AE71" i="1" s="1"/>
  <c r="Y73" i="1"/>
  <c r="AE73" i="1" s="1"/>
  <c r="AA81" i="1" l="1"/>
  <c r="AC81" i="1"/>
  <c r="AD81" i="1" s="1"/>
  <c r="AI75" i="1" l="1"/>
  <c r="AJ75" i="1"/>
  <c r="AK75" i="1"/>
  <c r="AE81" i="1"/>
  <c r="AB81" i="1"/>
  <c r="AK87" i="1"/>
  <c r="AI87" i="1"/>
  <c r="AM87" i="1"/>
  <c r="AC87" i="1"/>
  <c r="AD87" i="1" s="1"/>
  <c r="AJ87" i="1"/>
  <c r="AN87" i="1"/>
  <c r="AT23" i="1" l="1"/>
  <c r="AR23" i="1"/>
  <c r="AQ23" i="1"/>
  <c r="AP23" i="1"/>
  <c r="AO23" i="1"/>
  <c r="AN23" i="1"/>
  <c r="AM23" i="1"/>
  <c r="AL23" i="1"/>
  <c r="AK23" i="1"/>
  <c r="AJ23" i="1"/>
  <c r="AI23" i="1"/>
  <c r="AT21" i="1"/>
  <c r="AR21" i="1"/>
  <c r="AQ21" i="1"/>
  <c r="AP21" i="1"/>
  <c r="AO21" i="1"/>
  <c r="AN21" i="1"/>
  <c r="AM21" i="1"/>
  <c r="AL21" i="1"/>
  <c r="AK21" i="1"/>
  <c r="AJ21" i="1"/>
  <c r="AI21" i="1"/>
  <c r="AC23" i="1"/>
  <c r="AD23" i="1" s="1"/>
  <c r="AJ27" i="1" l="1"/>
  <c r="AC27" i="1"/>
  <c r="AD27" i="1" s="1"/>
  <c r="AK27" i="1"/>
  <c r="AO27" i="1"/>
  <c r="AQ27" i="1"/>
  <c r="AI27" i="1"/>
  <c r="AL27" i="1"/>
  <c r="AP27" i="1"/>
  <c r="AR27" i="1"/>
  <c r="AC15" i="1"/>
  <c r="AD15" i="1" s="1"/>
  <c r="AC13" i="1"/>
  <c r="AD13" i="1" s="1"/>
  <c r="AC11" i="1"/>
  <c r="AD11" i="1" s="1"/>
  <c r="AT81" i="1" l="1"/>
  <c r="AR81" i="1"/>
  <c r="AQ81" i="1"/>
  <c r="AP81" i="1"/>
  <c r="AO81" i="1"/>
  <c r="AN81" i="1"/>
  <c r="AM81" i="1"/>
  <c r="AL81" i="1"/>
  <c r="AK81" i="1"/>
  <c r="AJ81" i="1"/>
  <c r="AI81" i="1"/>
  <c r="AC73" i="1" l="1"/>
  <c r="AD73" i="1" s="1"/>
  <c r="AC71" i="1"/>
  <c r="AD71" i="1" s="1"/>
  <c r="AT73" i="1"/>
  <c r="AR73" i="1"/>
  <c r="AQ73" i="1"/>
  <c r="AP73" i="1"/>
  <c r="AO73" i="1"/>
  <c r="AN73" i="1"/>
  <c r="AM73" i="1"/>
  <c r="AL73" i="1"/>
  <c r="AK73" i="1"/>
  <c r="AJ73" i="1"/>
  <c r="AI73" i="1"/>
  <c r="AT71" i="1"/>
  <c r="AR71" i="1"/>
  <c r="AQ71" i="1"/>
  <c r="AP71" i="1"/>
  <c r="AO71" i="1"/>
  <c r="AN71" i="1"/>
  <c r="AM71" i="1"/>
  <c r="AL71" i="1"/>
  <c r="AK71" i="1"/>
  <c r="AJ71" i="1"/>
  <c r="AI71" i="1"/>
  <c r="AT15" i="1"/>
  <c r="AR15" i="1"/>
  <c r="AQ15" i="1"/>
  <c r="AP15" i="1"/>
  <c r="AO15" i="1"/>
  <c r="AN15" i="1"/>
  <c r="AM15" i="1"/>
  <c r="AL15" i="1"/>
  <c r="AK15" i="1"/>
  <c r="AJ15" i="1"/>
  <c r="AI15" i="1"/>
  <c r="AT13" i="1"/>
  <c r="AR13" i="1"/>
  <c r="AQ13" i="1"/>
  <c r="AP13" i="1"/>
  <c r="AO13" i="1"/>
  <c r="AN13" i="1"/>
  <c r="AM13" i="1"/>
  <c r="AL13" i="1"/>
  <c r="AK13" i="1"/>
  <c r="AJ13" i="1"/>
  <c r="AI13" i="1"/>
  <c r="AT11" i="1"/>
  <c r="AR11" i="1"/>
  <c r="AQ11" i="1"/>
  <c r="AP11" i="1"/>
  <c r="AO11" i="1"/>
  <c r="AN11" i="1"/>
  <c r="AM11" i="1"/>
  <c r="AL11" i="1"/>
  <c r="AK11" i="1"/>
  <c r="AJ11" i="1"/>
  <c r="AI11" i="1"/>
  <c r="AC17" i="1" l="1"/>
  <c r="AD17" i="1" s="1"/>
  <c r="AC19" i="1"/>
  <c r="AD19" i="1" s="1"/>
  <c r="AC51" i="1"/>
  <c r="AD51" i="1" s="1"/>
  <c r="AC53" i="1"/>
  <c r="AD53" i="1" s="1"/>
  <c r="AC55" i="1"/>
  <c r="AD55" i="1" s="1"/>
  <c r="AC57" i="1"/>
  <c r="AD57" i="1" s="1"/>
  <c r="AC59" i="1"/>
  <c r="AD59" i="1" s="1"/>
  <c r="AC61" i="1"/>
  <c r="AD61" i="1" s="1"/>
  <c r="AC63" i="1"/>
  <c r="AD63" i="1" s="1"/>
  <c r="AT19" i="1" l="1"/>
  <c r="AR19" i="1"/>
  <c r="AQ19" i="1"/>
  <c r="AT17" i="1"/>
  <c r="AR17" i="1"/>
  <c r="AQ17" i="1"/>
  <c r="AT63" i="1"/>
  <c r="AR63" i="1"/>
  <c r="AQ63" i="1"/>
  <c r="AT61" i="1"/>
  <c r="AR61" i="1"/>
  <c r="AQ61" i="1"/>
  <c r="AT59" i="1"/>
  <c r="AR59" i="1"/>
  <c r="AQ59" i="1"/>
  <c r="AT57" i="1"/>
  <c r="AR57" i="1"/>
  <c r="AQ57" i="1"/>
  <c r="AT55" i="1"/>
  <c r="AR55" i="1"/>
  <c r="AQ55" i="1"/>
  <c r="AT53" i="1"/>
  <c r="AR53" i="1"/>
  <c r="AQ53" i="1"/>
  <c r="AT51" i="1"/>
  <c r="AR51" i="1"/>
  <c r="AQ51" i="1"/>
  <c r="AG131" i="1" l="1"/>
  <c r="AG135" i="1"/>
  <c r="AG137" i="1"/>
  <c r="AG133" i="1"/>
  <c r="AP19" i="1" l="1"/>
  <c r="AO19" i="1"/>
  <c r="AN19" i="1"/>
  <c r="AM19" i="1"/>
  <c r="AL19" i="1"/>
  <c r="AK19" i="1"/>
  <c r="AJ19" i="1"/>
  <c r="AI19" i="1"/>
  <c r="AA19" i="1"/>
  <c r="AE19" i="1" l="1"/>
  <c r="AB19" i="1"/>
  <c r="AC49" i="1"/>
  <c r="AD49" i="1" s="1"/>
  <c r="AQ49" i="1"/>
  <c r="AR49" i="1"/>
  <c r="AT49" i="1"/>
  <c r="AP49" i="1"/>
  <c r="AO49" i="1"/>
  <c r="AN49" i="1"/>
  <c r="AM49" i="1"/>
  <c r="AL49" i="1"/>
  <c r="AK49" i="1"/>
  <c r="AJ49" i="1"/>
  <c r="AI49" i="1"/>
  <c r="AP17" i="1"/>
  <c r="AO17" i="1"/>
  <c r="AN17" i="1"/>
  <c r="AM17" i="1"/>
  <c r="AL17" i="1"/>
  <c r="AK17" i="1"/>
  <c r="AJ17" i="1"/>
  <c r="AI17" i="1"/>
  <c r="AP63" i="1"/>
  <c r="AO63" i="1"/>
  <c r="AN63" i="1"/>
  <c r="AM63" i="1"/>
  <c r="AL63" i="1"/>
  <c r="AK63" i="1"/>
  <c r="AJ63" i="1"/>
  <c r="AI63" i="1"/>
  <c r="AP61" i="1"/>
  <c r="AO61" i="1"/>
  <c r="AN61" i="1"/>
  <c r="AM61" i="1"/>
  <c r="AL61" i="1"/>
  <c r="AK61" i="1"/>
  <c r="AJ61" i="1"/>
  <c r="AI61" i="1"/>
  <c r="AP59" i="1"/>
  <c r="AO59" i="1"/>
  <c r="AN59" i="1"/>
  <c r="AM59" i="1"/>
  <c r="AL59" i="1"/>
  <c r="AK59" i="1"/>
  <c r="AJ59" i="1"/>
  <c r="AI59" i="1"/>
  <c r="AP57" i="1"/>
  <c r="AO57" i="1"/>
  <c r="AN57" i="1"/>
  <c r="AM57" i="1"/>
  <c r="AL57" i="1"/>
  <c r="AK57" i="1"/>
  <c r="AJ57" i="1"/>
  <c r="AI57" i="1"/>
  <c r="AP55" i="1"/>
  <c r="AO55" i="1"/>
  <c r="AN55" i="1"/>
  <c r="AM55" i="1"/>
  <c r="AL55" i="1"/>
  <c r="AK55" i="1"/>
  <c r="AJ55" i="1"/>
  <c r="AI55" i="1"/>
  <c r="AP53" i="1"/>
  <c r="AO53" i="1"/>
  <c r="AN53" i="1"/>
  <c r="AM53" i="1"/>
  <c r="AL53" i="1"/>
  <c r="AK53" i="1"/>
  <c r="AJ53" i="1"/>
  <c r="AI53" i="1"/>
  <c r="AP51" i="1"/>
  <c r="AO51" i="1"/>
  <c r="AN51" i="1"/>
  <c r="AM51" i="1"/>
  <c r="AL51" i="1"/>
  <c r="AK51" i="1"/>
  <c r="AJ51" i="1"/>
  <c r="AI51" i="1"/>
  <c r="AX8" i="1" l="1"/>
  <c r="AW8" i="1"/>
  <c r="AA9" i="1"/>
  <c r="AE9" i="1" l="1"/>
  <c r="AB9" i="1"/>
  <c r="AC9" i="1"/>
  <c r="AD9" i="1" s="1"/>
  <c r="AI9" i="1"/>
  <c r="AK9" i="1"/>
  <c r="AJ9" i="1"/>
  <c r="AA137" i="1"/>
  <c r="AA135" i="1"/>
  <c r="AA133" i="1"/>
  <c r="AA131" i="1"/>
  <c r="AE135" i="1" l="1"/>
  <c r="AB135" i="1"/>
  <c r="AE137" i="1"/>
  <c r="AB137" i="1"/>
  <c r="AE131" i="1"/>
  <c r="AB131" i="1"/>
  <c r="AE133" i="1"/>
  <c r="AB133" i="1"/>
  <c r="AC137" i="1"/>
  <c r="AD137" i="1" s="1"/>
  <c r="AC131" i="1"/>
  <c r="AD131" i="1" s="1"/>
  <c r="AC135" i="1"/>
  <c r="AD135" i="1" s="1"/>
  <c r="AQ131" i="1"/>
  <c r="AR131" i="1"/>
  <c r="AT131" i="1"/>
  <c r="AR133" i="1"/>
  <c r="AQ133" i="1"/>
  <c r="AT133" i="1"/>
  <c r="AR137" i="1"/>
  <c r="AQ137" i="1"/>
  <c r="AT137" i="1"/>
  <c r="AQ135" i="1"/>
  <c r="AT135" i="1"/>
  <c r="AR135" i="1"/>
  <c r="AO135" i="1"/>
  <c r="AK135" i="1"/>
  <c r="AN135" i="1"/>
  <c r="AJ135" i="1"/>
  <c r="AI135" i="1"/>
  <c r="AM135" i="1"/>
  <c r="AP135" i="1"/>
  <c r="AL135" i="1"/>
  <c r="AN131" i="1"/>
  <c r="AP131" i="1"/>
  <c r="AL131" i="1"/>
  <c r="AM131" i="1"/>
  <c r="AK131" i="1"/>
  <c r="AJ131" i="1"/>
  <c r="AO131" i="1"/>
  <c r="AI131" i="1"/>
  <c r="AP133" i="1"/>
  <c r="AL133" i="1"/>
  <c r="AO133" i="1"/>
  <c r="AK133" i="1"/>
  <c r="AN133" i="1"/>
  <c r="AJ133" i="1"/>
  <c r="AM133" i="1"/>
  <c r="AI133" i="1"/>
  <c r="AM137" i="1"/>
  <c r="AI137" i="1"/>
  <c r="AP137" i="1"/>
  <c r="AL137" i="1"/>
  <c r="AO137" i="1"/>
  <c r="AK137" i="1"/>
  <c r="AJ137" i="1"/>
  <c r="AN137" i="1"/>
  <c r="AX32" i="1" l="1"/>
  <c r="AX40" i="1"/>
  <c r="AY40" i="1"/>
  <c r="AA77" i="1"/>
  <c r="AA79" i="1"/>
  <c r="AW88" i="1"/>
  <c r="AX88" i="1"/>
  <c r="AC21" i="1" l="1"/>
  <c r="AD21" i="1" s="1"/>
  <c r="AC133" i="1"/>
  <c r="AD133" i="1" s="1"/>
  <c r="AA143" i="1"/>
  <c r="AA142" i="1"/>
  <c r="AA141" i="1"/>
  <c r="AA140" i="1"/>
  <c r="AA139" i="1"/>
  <c r="AE79" i="1"/>
  <c r="AB79" i="1"/>
  <c r="AE77" i="1"/>
  <c r="AB77" i="1"/>
  <c r="AC77" i="1"/>
  <c r="AD77" i="1" s="1"/>
  <c r="AD7" i="1"/>
  <c r="AC85" i="1"/>
  <c r="AD85" i="1" s="1"/>
  <c r="AC33" i="1"/>
  <c r="AD33" i="1" s="1"/>
  <c r="AC25" i="1"/>
  <c r="AD25" i="1" s="1"/>
  <c r="AC89" i="1"/>
  <c r="AD89" i="1" s="1"/>
  <c r="AC47" i="1"/>
  <c r="AD47" i="1" s="1"/>
  <c r="AC43" i="1"/>
  <c r="AD43" i="1" s="1"/>
  <c r="AC79" i="1"/>
  <c r="AD79" i="1" s="1"/>
  <c r="AC75" i="1"/>
  <c r="AD75" i="1" s="1"/>
  <c r="AC35" i="1"/>
  <c r="AD35" i="1" s="1"/>
  <c r="AC83" i="1"/>
  <c r="AD83" i="1" s="1"/>
  <c r="AC45" i="1"/>
  <c r="AD45" i="1" s="1"/>
  <c r="AC41" i="1"/>
  <c r="AD41" i="1" s="1"/>
  <c r="AT35" i="1"/>
  <c r="AR35" i="1"/>
  <c r="AQ35" i="1"/>
  <c r="AT25" i="1"/>
  <c r="AR25" i="1"/>
  <c r="AQ25" i="1"/>
  <c r="AT89" i="1"/>
  <c r="AR89" i="1"/>
  <c r="AQ89" i="1"/>
  <c r="AT83" i="1"/>
  <c r="AR83" i="1"/>
  <c r="AQ83" i="1"/>
  <c r="AT47" i="1"/>
  <c r="AR47" i="1"/>
  <c r="AQ47" i="1"/>
  <c r="AT45" i="1"/>
  <c r="AR45" i="1"/>
  <c r="AQ45" i="1"/>
  <c r="AR43" i="1"/>
  <c r="AQ43" i="1"/>
  <c r="AT43" i="1"/>
  <c r="AT41" i="1"/>
  <c r="AR41" i="1"/>
  <c r="AQ41" i="1"/>
  <c r="AT85" i="1"/>
  <c r="AR85" i="1"/>
  <c r="AQ85" i="1"/>
  <c r="AT77" i="1"/>
  <c r="AR77" i="1"/>
  <c r="AQ77" i="1"/>
  <c r="AR79" i="1"/>
  <c r="AQ79" i="1"/>
  <c r="AT79" i="1"/>
  <c r="AR33" i="1"/>
  <c r="AQ33" i="1"/>
  <c r="AT33" i="1"/>
  <c r="AM85" i="1"/>
  <c r="AI85" i="1"/>
  <c r="AP85" i="1"/>
  <c r="AL85" i="1"/>
  <c r="AO85" i="1"/>
  <c r="AK85" i="1"/>
  <c r="AN85" i="1"/>
  <c r="AJ85" i="1"/>
  <c r="AN77" i="1"/>
  <c r="AJ77" i="1"/>
  <c r="AM77" i="1"/>
  <c r="AI77" i="1"/>
  <c r="AP77" i="1"/>
  <c r="AL77" i="1"/>
  <c r="AO77" i="1"/>
  <c r="AK77" i="1"/>
  <c r="AN35" i="1"/>
  <c r="AJ35" i="1"/>
  <c r="AK35" i="1"/>
  <c r="AM35" i="1"/>
  <c r="AI35" i="1"/>
  <c r="AO35" i="1"/>
  <c r="AP35" i="1"/>
  <c r="AL35" i="1"/>
  <c r="AN25" i="1"/>
  <c r="AJ25" i="1"/>
  <c r="AM25" i="1"/>
  <c r="AI25" i="1"/>
  <c r="AO25" i="1"/>
  <c r="AP25" i="1"/>
  <c r="AL25" i="1"/>
  <c r="AK25" i="1"/>
  <c r="AP79" i="1"/>
  <c r="AL79" i="1"/>
  <c r="AO79" i="1"/>
  <c r="AK79" i="1"/>
  <c r="AN79" i="1"/>
  <c r="AJ79" i="1"/>
  <c r="AM79" i="1"/>
  <c r="AI79" i="1"/>
  <c r="AP33" i="1"/>
  <c r="AL33" i="1"/>
  <c r="AI33" i="1"/>
  <c r="AO33" i="1"/>
  <c r="AK33" i="1"/>
  <c r="AM33" i="1"/>
  <c r="AN33" i="1"/>
  <c r="AJ33" i="1"/>
  <c r="AM89" i="1"/>
  <c r="AI89" i="1"/>
  <c r="AP89" i="1"/>
  <c r="AL89" i="1"/>
  <c r="AO89" i="1"/>
  <c r="AK89" i="1"/>
  <c r="AJ89" i="1"/>
  <c r="AN89" i="1"/>
  <c r="AM83" i="1"/>
  <c r="AI83" i="1"/>
  <c r="AP83" i="1"/>
  <c r="AL83" i="1"/>
  <c r="AO83" i="1"/>
  <c r="AK83" i="1"/>
  <c r="AN83" i="1"/>
  <c r="AJ83" i="1"/>
  <c r="AO47" i="1"/>
  <c r="AK47" i="1"/>
  <c r="AP47" i="1"/>
  <c r="AJ47" i="1"/>
  <c r="AN47" i="1"/>
  <c r="AI47" i="1"/>
  <c r="AM47" i="1"/>
  <c r="AL47" i="1"/>
  <c r="AP45" i="1"/>
  <c r="AL45" i="1"/>
  <c r="AO45" i="1"/>
  <c r="AK45" i="1"/>
  <c r="AN45" i="1"/>
  <c r="AJ45" i="1"/>
  <c r="AM45" i="1"/>
  <c r="AI45" i="1"/>
  <c r="AN43" i="1"/>
  <c r="AJ43" i="1"/>
  <c r="AM43" i="1"/>
  <c r="AI43" i="1"/>
  <c r="AP43" i="1"/>
  <c r="AL43" i="1"/>
  <c r="AO43" i="1"/>
  <c r="AK43" i="1"/>
  <c r="AP41" i="1"/>
  <c r="AL41" i="1"/>
  <c r="AO41" i="1"/>
  <c r="AK41" i="1"/>
  <c r="AN41" i="1"/>
  <c r="AJ41" i="1"/>
  <c r="AM41" i="1"/>
  <c r="AI41" i="1"/>
  <c r="AG143" i="1" l="1"/>
  <c r="AG141" i="1"/>
  <c r="AG140" i="1"/>
  <c r="AG139" i="1"/>
  <c r="AG142" i="1"/>
  <c r="AF143" i="1"/>
  <c r="AF141" i="1"/>
  <c r="AF140" i="1"/>
  <c r="AF139" i="1"/>
  <c r="AF142" i="1"/>
  <c r="Y141" i="1"/>
  <c r="Y140" i="1"/>
  <c r="Y139" i="1"/>
  <c r="Y143" i="1"/>
  <c r="Y142" i="1"/>
  <c r="AE143" i="1"/>
  <c r="AL9" i="1"/>
  <c r="AM9" i="1"/>
  <c r="AN9" i="1"/>
  <c r="AP9" i="1"/>
  <c r="AO9" i="1"/>
  <c r="AE139" i="1" l="1"/>
  <c r="AE140" i="1"/>
  <c r="AE141" i="1"/>
  <c r="AE142" i="1"/>
  <c r="AT9" i="1" l="1"/>
  <c r="AR9" i="1"/>
  <c r="AQ9" i="1"/>
  <c r="AN27" i="1" l="1"/>
  <c r="AM27" i="1"/>
  <c r="AT27" i="1"/>
  <c r="AP87" i="1"/>
  <c r="AQ87" i="1"/>
  <c r="AR87" i="1"/>
  <c r="AT87" i="1"/>
  <c r="AL87" i="1"/>
  <c r="AO87" i="1"/>
  <c r="AS25" i="1" l="1"/>
  <c r="AS27" i="1"/>
  <c r="AS83" i="1"/>
  <c r="AS9" i="1"/>
  <c r="AS85" i="1"/>
  <c r="AS41" i="1"/>
  <c r="AS87" i="1"/>
  <c r="AS43" i="1"/>
  <c r="AS45" i="1"/>
  <c r="AS89" i="1"/>
  <c r="AS79" i="1"/>
  <c r="AS77" i="1"/>
  <c r="AS49" i="1"/>
  <c r="AS35" i="1"/>
  <c r="AS33" i="1"/>
  <c r="AS73" i="1"/>
  <c r="AS47" i="1" l="1"/>
  <c r="AM22" i="13" l="1"/>
  <c r="AM24" i="13"/>
  <c r="C2" i="36" s="1"/>
  <c r="AM19" i="13"/>
  <c r="AM20" i="13"/>
  <c r="AM21" i="13"/>
  <c r="D175" i="14"/>
  <c r="D17" i="22"/>
  <c r="AM27" i="13" l="1"/>
  <c r="B2" i="36"/>
  <c r="AM26" i="13"/>
  <c r="G18" i="14"/>
  <c r="H18" i="14"/>
  <c r="D41" i="24" l="1"/>
  <c r="D39" i="24"/>
  <c r="D45" i="24"/>
  <c r="D23" i="24"/>
  <c r="D13" i="24"/>
  <c r="D43" i="24"/>
  <c r="AM58" i="25"/>
  <c r="D11" i="26"/>
  <c r="D9" i="26"/>
  <c r="D5" i="26"/>
  <c r="D37" i="30" l="1"/>
  <c r="D31" i="30"/>
  <c r="D9" i="30"/>
  <c r="D7" i="30"/>
  <c r="D5" i="30"/>
  <c r="D29" i="30"/>
  <c r="D17" i="32"/>
  <c r="D3" i="32"/>
  <c r="D5" i="32"/>
  <c r="D21" i="34"/>
  <c r="AS31" i="1" l="1"/>
  <c r="AO31" i="1"/>
  <c r="AM31" i="1" l="1"/>
  <c r="AL31" i="1"/>
  <c r="AR31" i="1"/>
  <c r="AT31" i="1"/>
  <c r="AQ31" i="1"/>
  <c r="AP31" i="1"/>
  <c r="D23" i="32" l="1"/>
  <c r="AN31" i="1" l="1"/>
  <c r="AP39" i="1" l="1"/>
  <c r="AO39" i="1"/>
  <c r="AN39" i="1"/>
  <c r="AM39" i="1"/>
  <c r="AT39" i="1"/>
  <c r="AL39" i="1"/>
  <c r="AS39" i="1"/>
  <c r="AR39" i="1"/>
  <c r="AQ39" i="1"/>
  <c r="AM67" i="1" l="1"/>
  <c r="AS67" i="1"/>
  <c r="AR67" i="1"/>
  <c r="AQ67" i="1"/>
  <c r="AP67" i="1"/>
  <c r="AT67" i="1"/>
  <c r="AO67" i="1"/>
  <c r="AN67" i="1"/>
  <c r="AL67" i="1"/>
  <c r="AT69" i="1" l="1"/>
  <c r="AL69" i="1"/>
  <c r="AS69" i="1"/>
  <c r="AR69" i="1"/>
  <c r="AQ69" i="1"/>
  <c r="AP69" i="1"/>
  <c r="AO69" i="1"/>
  <c r="AN69" i="1" l="1"/>
  <c r="AM69" i="1"/>
  <c r="AR75" i="1" l="1" a="1"/>
  <c r="AR75" i="1" s="1"/>
  <c r="AQ75" i="1" a="1"/>
  <c r="AQ75" i="1" s="1"/>
  <c r="AP75" i="1" a="1"/>
  <c r="AP75" i="1" s="1"/>
  <c r="AO75" i="1" a="1"/>
  <c r="AO75" i="1" s="1"/>
  <c r="AN75" i="1" a="1"/>
  <c r="AN75" i="1" s="1"/>
  <c r="AL75" i="1" a="1"/>
  <c r="AL75" i="1" s="1"/>
  <c r="AM75" i="1" a="1"/>
  <c r="AM75" i="1" s="1"/>
  <c r="AT75" i="1" a="1"/>
  <c r="AT75" i="1" s="1"/>
  <c r="AS75" i="1" a="1"/>
  <c r="AS75" i="1" s="1"/>
  <c r="AC140" i="1" l="1"/>
  <c r="AC139" i="1"/>
  <c r="AC143" i="1"/>
  <c r="AC141" i="1"/>
  <c r="AC142" i="1" l="1"/>
  <c r="AT129" i="1"/>
  <c r="AP129" i="1"/>
  <c r="AT127" i="1"/>
  <c r="AP127" i="1"/>
  <c r="AS125" i="1"/>
  <c r="AO125" i="1"/>
  <c r="AT123" i="1"/>
  <c r="AP123" i="1"/>
  <c r="AQ119" i="1"/>
  <c r="AM117" i="1"/>
  <c r="AS115" i="1"/>
  <c r="AO115" i="1"/>
  <c r="AN113" i="1"/>
  <c r="AM111" i="1"/>
  <c r="AR109" i="1"/>
  <c r="AL109" i="1"/>
  <c r="AR107" i="1"/>
  <c r="AL107" i="1"/>
  <c r="AM105" i="1"/>
  <c r="AM103" i="1"/>
  <c r="AS101" i="1"/>
  <c r="AO101" i="1"/>
  <c r="AM97" i="1"/>
  <c r="AT95" i="1"/>
  <c r="AP95" i="1"/>
  <c r="AQ93" i="1"/>
  <c r="AR91" i="1"/>
  <c r="AL91" i="1"/>
  <c r="AR65" i="1"/>
  <c r="AL65" i="1"/>
  <c r="AS129" i="1"/>
  <c r="AO129" i="1"/>
  <c r="AS127" i="1"/>
  <c r="AO127" i="1"/>
  <c r="AT121" i="1"/>
  <c r="AP121" i="1"/>
  <c r="AR117" i="1"/>
  <c r="AL117" i="1"/>
  <c r="AN115" i="1"/>
  <c r="AM113" i="1"/>
  <c r="AR111" i="1"/>
  <c r="AL111" i="1"/>
  <c r="AQ109" i="1"/>
  <c r="AQ107" i="1"/>
  <c r="AR105" i="1"/>
  <c r="AL105" i="1"/>
  <c r="AR103" i="1"/>
  <c r="AL103" i="1"/>
  <c r="AN101" i="1"/>
  <c r="AR97" i="1"/>
  <c r="AL97" i="1"/>
  <c r="AN129" i="1"/>
  <c r="AN127" i="1"/>
  <c r="AS121" i="1"/>
  <c r="AO121" i="1"/>
  <c r="AQ117" i="1"/>
  <c r="AM115" i="1"/>
  <c r="AR113" i="1"/>
  <c r="AL113" i="1"/>
  <c r="AQ111" i="1"/>
  <c r="AQ105" i="1"/>
  <c r="AQ103" i="1"/>
  <c r="AM101" i="1"/>
  <c r="AT99" i="1"/>
  <c r="AP99" i="1"/>
  <c r="AQ97" i="1"/>
  <c r="AN121" i="1"/>
  <c r="AT119" i="1"/>
  <c r="AP119" i="1"/>
  <c r="AR115" i="1"/>
  <c r="AL115" i="1"/>
  <c r="AQ113" i="1"/>
  <c r="AR101" i="1"/>
  <c r="AL101" i="1"/>
  <c r="AS99" i="1"/>
  <c r="AO99" i="1"/>
  <c r="AM95" i="1"/>
  <c r="AT93" i="1"/>
  <c r="AP93" i="1"/>
  <c r="AS5" i="1"/>
  <c r="AO5" i="1"/>
  <c r="AP91" i="1"/>
  <c r="AP65" i="1"/>
  <c r="AR129" i="1"/>
  <c r="AL129" i="1"/>
  <c r="AR127" i="1"/>
  <c r="AL127" i="1"/>
  <c r="AQ125" i="1"/>
  <c r="AR123" i="1"/>
  <c r="AL123" i="1"/>
  <c r="AM121" i="1"/>
  <c r="AS119" i="1"/>
  <c r="AO119" i="1"/>
  <c r="AQ115" i="1"/>
  <c r="AT109" i="1"/>
  <c r="AP109" i="1"/>
  <c r="AT107" i="1"/>
  <c r="AP107" i="1"/>
  <c r="AQ101" i="1"/>
  <c r="AN99" i="1"/>
  <c r="AR95" i="1"/>
  <c r="AL95" i="1"/>
  <c r="AS93" i="1"/>
  <c r="AO93" i="1"/>
  <c r="AT91" i="1"/>
  <c r="AT65" i="1"/>
  <c r="AQ129" i="1"/>
  <c r="AQ127" i="1"/>
  <c r="AQ123" i="1"/>
  <c r="AR121" i="1"/>
  <c r="AL121" i="1"/>
  <c r="AN119" i="1"/>
  <c r="AT117" i="1"/>
  <c r="AP117" i="1"/>
  <c r="AT111" i="1"/>
  <c r="AP111" i="1"/>
  <c r="AS109" i="1"/>
  <c r="AO109" i="1"/>
  <c r="AS107" i="1"/>
  <c r="AO107" i="1"/>
  <c r="AT105" i="1"/>
  <c r="AP105" i="1"/>
  <c r="AT103" i="1"/>
  <c r="AP103" i="1"/>
  <c r="AM99" i="1"/>
  <c r="AT97" i="1"/>
  <c r="AP97" i="1"/>
  <c r="AQ95" i="1"/>
  <c r="AN93" i="1"/>
  <c r="AS91" i="1"/>
  <c r="AO91" i="1"/>
  <c r="AS65" i="1"/>
  <c r="AO65" i="1"/>
  <c r="AN65" i="1"/>
  <c r="AL93" i="1"/>
  <c r="AM65" i="1"/>
  <c r="AT125" i="1"/>
  <c r="AP125" i="1"/>
  <c r="AR119" i="1"/>
  <c r="AL119" i="1"/>
  <c r="AN117" i="1"/>
  <c r="AT115" i="1"/>
  <c r="AP115" i="1"/>
  <c r="AS113" i="1"/>
  <c r="AO113" i="1"/>
  <c r="AN111" i="1"/>
  <c r="AM109" i="1"/>
  <c r="AM107" i="1"/>
  <c r="AN105" i="1"/>
  <c r="AN103" i="1"/>
  <c r="AT101" i="1"/>
  <c r="AP101" i="1"/>
  <c r="AQ99" i="1"/>
  <c r="AN97" i="1"/>
  <c r="AR93" i="1"/>
  <c r="AM91" i="1"/>
  <c r="AQ65" i="1"/>
  <c r="AR3" i="1"/>
  <c r="AO95" i="1"/>
  <c r="AQ3" i="1"/>
  <c r="AM5" i="1"/>
  <c r="AN95" i="1"/>
  <c r="AP5" i="1"/>
  <c r="AN5" i="1"/>
  <c r="AP3" i="1"/>
  <c r="AO3" i="1"/>
  <c r="AS95" i="1"/>
  <c r="AR125" i="1"/>
  <c r="AS117" i="1"/>
  <c r="AS103" i="1"/>
  <c r="AM125" i="1"/>
  <c r="AS123" i="1"/>
  <c r="AQ91" i="1"/>
  <c r="AT5" i="1"/>
  <c r="AT3" i="1"/>
  <c r="AN125" i="1"/>
  <c r="AO123" i="1"/>
  <c r="AN123" i="1"/>
  <c r="G18" i="12" l="1"/>
  <c r="H18" i="12" l="1"/>
  <c r="D5" i="18" l="1"/>
  <c r="AM31" i="17"/>
  <c r="AR29" i="17"/>
  <c r="AN27" i="17"/>
  <c r="AR25" i="17"/>
  <c r="AN23" i="17"/>
  <c r="AS21" i="17"/>
  <c r="AQ19" i="17"/>
  <c r="AN17" i="17"/>
  <c r="AM15" i="17"/>
  <c r="AM13" i="17"/>
  <c r="AM11" i="17"/>
  <c r="AM9" i="17"/>
  <c r="AM7" i="17"/>
  <c r="AS5" i="17"/>
  <c r="AT31" i="17"/>
  <c r="AL31" i="17"/>
  <c r="AQ29" i="17"/>
  <c r="AM27" i="17"/>
  <c r="AQ25" i="17"/>
  <c r="AM23" i="17"/>
  <c r="AP19" i="17"/>
  <c r="AM17" i="17"/>
  <c r="AT15" i="17"/>
  <c r="AL15" i="17"/>
  <c r="AT13" i="17"/>
  <c r="AL13" i="17"/>
  <c r="AT11" i="17"/>
  <c r="AL11" i="17"/>
  <c r="AT9" i="17"/>
  <c r="AL9" i="17"/>
  <c r="AT7" i="17"/>
  <c r="AL7" i="17"/>
  <c r="AS31" i="17"/>
  <c r="AP29" i="17"/>
  <c r="AT27" i="17"/>
  <c r="AL27" i="17"/>
  <c r="AP25" i="17"/>
  <c r="AT23" i="17"/>
  <c r="AL23" i="17"/>
  <c r="AQ21" i="17"/>
  <c r="AO19" i="17"/>
  <c r="AT17" i="17"/>
  <c r="AL17" i="17"/>
  <c r="AS15" i="17"/>
  <c r="AS13" i="17"/>
  <c r="AS11" i="17"/>
  <c r="AS9" i="17"/>
  <c r="AS7" i="17"/>
  <c r="AQ5" i="17"/>
  <c r="AR31" i="17"/>
  <c r="AO29" i="17"/>
  <c r="AS27" i="17"/>
  <c r="AO25" i="17"/>
  <c r="AS23" i="17"/>
  <c r="AP21" i="17"/>
  <c r="AS17" i="17"/>
  <c r="AR15" i="17"/>
  <c r="AR13" i="17"/>
  <c r="AR11" i="17"/>
  <c r="AR9" i="17"/>
  <c r="AR7" i="17"/>
  <c r="AP5" i="17"/>
  <c r="AQ31" i="17"/>
  <c r="AN29" i="17"/>
  <c r="AR27" i="17"/>
  <c r="AN25" i="17"/>
  <c r="AR23" i="17"/>
  <c r="AO21" i="17"/>
  <c r="AM19" i="17"/>
  <c r="AR17" i="17"/>
  <c r="AQ15" i="17"/>
  <c r="AQ13" i="17"/>
  <c r="AQ11" i="17"/>
  <c r="AQ9" i="17"/>
  <c r="AQ7" i="17"/>
  <c r="AO5" i="17"/>
  <c r="AM29" i="17"/>
  <c r="AQ27" i="17"/>
  <c r="AM25" i="17"/>
  <c r="AQ23" i="17"/>
  <c r="AT19" i="17"/>
  <c r="AL19" i="17"/>
  <c r="AQ17" i="17"/>
  <c r="AP15" i="17"/>
  <c r="AP13" i="17"/>
  <c r="AP11" i="17"/>
  <c r="AP9" i="17"/>
  <c r="AP7" i="17"/>
  <c r="AR3" i="17"/>
  <c r="AN31" i="17"/>
  <c r="AS29" i="17"/>
  <c r="AO27" i="17"/>
  <c r="AS25" i="17"/>
  <c r="AO23" i="17"/>
  <c r="AT21" i="17"/>
  <c r="AL21" i="17"/>
  <c r="AR19" i="17"/>
  <c r="AO17" i="17"/>
  <c r="AN15" i="17"/>
  <c r="AN13" i="17"/>
  <c r="AN11" i="17"/>
  <c r="AN9" i="17"/>
  <c r="AN7" i="17"/>
  <c r="AT5" i="17"/>
  <c r="AL5" i="17"/>
  <c r="AL3" i="17"/>
  <c r="AT3" i="17"/>
  <c r="AQ3" i="17"/>
  <c r="AO3" i="17"/>
  <c r="AN3" i="17"/>
  <c r="AM3" i="17"/>
  <c r="D3" i="18" s="1"/>
  <c r="H18" i="18" s="1"/>
  <c r="D7" i="18"/>
  <c r="G18" i="18"/>
  <c r="AS3" i="17"/>
  <c r="AP3" i="17"/>
  <c r="AR21" i="17"/>
  <c r="AR5" i="17"/>
  <c r="AN19" i="17"/>
  <c r="AP23" i="17"/>
  <c r="AO7" i="17"/>
  <c r="AM34" i="17"/>
  <c r="AM38" i="17" l="1"/>
  <c r="C3" i="35" s="1"/>
  <c r="AM37" i="17"/>
  <c r="AM33" i="17"/>
  <c r="AM35" i="17"/>
  <c r="AM36" i="17"/>
  <c r="AM40" i="17"/>
  <c r="AM41" i="17"/>
  <c r="B3" i="35"/>
  <c r="AT23" i="19"/>
  <c r="AL23" i="19"/>
  <c r="AP21" i="19"/>
  <c r="AT19" i="19"/>
  <c r="AL19" i="19"/>
  <c r="AP17" i="19"/>
  <c r="AS15" i="19"/>
  <c r="AS13" i="19"/>
  <c r="AS11" i="19"/>
  <c r="AS9" i="19"/>
  <c r="AS7" i="19"/>
  <c r="AQ5" i="19"/>
  <c r="AR15" i="19"/>
  <c r="AR13" i="19"/>
  <c r="AR11" i="19"/>
  <c r="AR9" i="19"/>
  <c r="AR7" i="19"/>
  <c r="AP5" i="19"/>
  <c r="AN3" i="19"/>
  <c r="AR23" i="19"/>
  <c r="AN21" i="19"/>
  <c r="AR19" i="19"/>
  <c r="AN17" i="19"/>
  <c r="AT3" i="19"/>
  <c r="AL3" i="19"/>
  <c r="AO11" i="19"/>
  <c r="AO7" i="19"/>
  <c r="AS3" i="19"/>
  <c r="AS5" i="19"/>
  <c r="AL11" i="19"/>
  <c r="AT7" i="19"/>
  <c r="AP23" i="19"/>
  <c r="AT21" i="19"/>
  <c r="AL21" i="19"/>
  <c r="AP19" i="19"/>
  <c r="AT17" i="19"/>
  <c r="AL17" i="19"/>
  <c r="AO15" i="19"/>
  <c r="AO13" i="19"/>
  <c r="AO9" i="19"/>
  <c r="AM5" i="19"/>
  <c r="AL13" i="19"/>
  <c r="AL9" i="19"/>
  <c r="AR5" i="19"/>
  <c r="AQ15" i="19"/>
  <c r="AN9" i="19"/>
  <c r="AN7" i="19"/>
  <c r="AR3" i="19"/>
  <c r="AM13" i="19"/>
  <c r="AM11" i="19"/>
  <c r="D11" i="22" s="1"/>
  <c r="AM9" i="19"/>
  <c r="AO5" i="19"/>
  <c r="AR21" i="19"/>
  <c r="AN19" i="19"/>
  <c r="AR17" i="19"/>
  <c r="AM15" i="19"/>
  <c r="AM30" i="19" s="1"/>
  <c r="C3" i="36" s="1"/>
  <c r="AM7" i="19"/>
  <c r="AL7" i="19"/>
  <c r="AM23" i="19"/>
  <c r="D23" i="22" s="1"/>
  <c r="AQ21" i="19"/>
  <c r="AM19" i="19"/>
  <c r="D19" i="22" s="1"/>
  <c r="AQ17" i="19"/>
  <c r="AT15" i="19"/>
  <c r="AL15" i="19"/>
  <c r="AT13" i="19"/>
  <c r="AT11" i="19"/>
  <c r="AT9" i="19"/>
  <c r="D13" i="22"/>
  <c r="D9" i="22"/>
  <c r="D7" i="22"/>
  <c r="D5" i="22"/>
  <c r="AO21" i="19"/>
  <c r="AQ3" i="19"/>
  <c r="AP3" i="19"/>
  <c r="AO17" i="19"/>
  <c r="AQ9" i="19"/>
  <c r="AO3" i="19"/>
  <c r="AM3" i="19"/>
  <c r="AM26" i="19" s="1"/>
  <c r="AS23" i="19"/>
  <c r="AS19" i="19"/>
  <c r="AQ13" i="19"/>
  <c r="D3" i="22" l="1"/>
  <c r="AM25" i="19"/>
  <c r="D15" i="22"/>
  <c r="AM27" i="19"/>
  <c r="AM28" i="19"/>
  <c r="AM29" i="19"/>
  <c r="AM32" i="19" l="1"/>
  <c r="AM33" i="19"/>
  <c r="B3" i="36"/>
  <c r="G18" i="22"/>
  <c r="H18" i="22"/>
  <c r="AQ11" i="19"/>
  <c r="D9" i="21"/>
  <c r="D7" i="21"/>
  <c r="AQ7" i="20"/>
  <c r="AO5" i="20"/>
  <c r="AT3" i="20"/>
  <c r="AP7" i="20"/>
  <c r="AN5" i="20"/>
  <c r="AS3" i="20"/>
  <c r="AT7" i="20"/>
  <c r="AR5" i="20"/>
  <c r="AO3" i="20"/>
  <c r="AS7" i="20"/>
  <c r="AQ5" i="20"/>
  <c r="AN3" i="20"/>
  <c r="AP5" i="20"/>
  <c r="AM3" i="20"/>
  <c r="AL3" i="20"/>
  <c r="D3" i="21" l="1"/>
  <c r="AO9" i="20"/>
  <c r="AM5" i="20"/>
  <c r="AL7" i="20"/>
  <c r="D5" i="21"/>
  <c r="AM14" i="20"/>
  <c r="AM11" i="20"/>
  <c r="AM15" i="20"/>
  <c r="AM18" i="20"/>
  <c r="AM19" i="20"/>
  <c r="B3" i="37"/>
  <c r="AM16" i="20"/>
  <c r="C3" i="37"/>
  <c r="AM12" i="20"/>
  <c r="AM13" i="20"/>
  <c r="H18" i="21"/>
  <c r="G18" i="21"/>
  <c r="AS37" i="23"/>
  <c r="AR35" i="23"/>
  <c r="AQ33" i="23"/>
  <c r="AQ31" i="23"/>
  <c r="AS29" i="23"/>
  <c r="AR37" i="23"/>
  <c r="AQ35" i="23"/>
  <c r="AP33" i="23"/>
  <c r="AP31" i="23"/>
  <c r="AR29" i="23"/>
  <c r="AT27" i="23"/>
  <c r="AL27" i="23"/>
  <c r="AQ37" i="23"/>
  <c r="AP35" i="23"/>
  <c r="AO33" i="23"/>
  <c r="AO31" i="23"/>
  <c r="AQ29" i="23"/>
  <c r="AS27" i="23"/>
  <c r="AM19" i="23"/>
  <c r="AN31" i="23"/>
  <c r="AP29" i="23"/>
  <c r="AR27" i="23"/>
  <c r="AQ15" i="23"/>
  <c r="AO37" i="23"/>
  <c r="AN35" i="23"/>
  <c r="AM33" i="23"/>
  <c r="D33" i="24" s="1"/>
  <c r="AM31" i="23"/>
  <c r="D31" i="24" s="1"/>
  <c r="AO29" i="23"/>
  <c r="AQ27" i="23"/>
  <c r="AS19" i="23"/>
  <c r="AN37" i="23"/>
  <c r="AM35" i="23"/>
  <c r="AT33" i="23"/>
  <c r="AL33" i="23"/>
  <c r="AT31" i="23"/>
  <c r="AL31" i="23"/>
  <c r="AN29" i="23"/>
  <c r="AT21" i="23"/>
  <c r="AO19" i="23"/>
  <c r="AL17" i="23"/>
  <c r="AN15" i="23"/>
  <c r="AO7" i="23"/>
  <c r="AQ5" i="23"/>
  <c r="AP5" i="23"/>
  <c r="AO5" i="23"/>
  <c r="AQ25" i="23"/>
  <c r="AR7" i="23"/>
  <c r="AO25" i="23"/>
  <c r="AT35" i="23"/>
  <c r="AN33" i="23"/>
  <c r="AS21" i="23"/>
  <c r="AN19" i="23"/>
  <c r="AM15" i="23"/>
  <c r="AN7" i="23"/>
  <c r="AS3" i="23"/>
  <c r="AL7" i="23"/>
  <c r="AM5" i="23"/>
  <c r="D5" i="24" s="1"/>
  <c r="AS35" i="23"/>
  <c r="AO21" i="23"/>
  <c r="AL15" i="23"/>
  <c r="AM7" i="23"/>
  <c r="D7" i="24" s="1"/>
  <c r="AL35" i="23"/>
  <c r="AN21" i="23"/>
  <c r="AS17" i="23"/>
  <c r="AT7" i="23"/>
  <c r="AO35" i="23"/>
  <c r="AT37" i="23"/>
  <c r="AM21" i="23"/>
  <c r="D21" i="24" s="1"/>
  <c r="AS7" i="23"/>
  <c r="AN5" i="23"/>
  <c r="AS33" i="23"/>
  <c r="AQ7" i="23"/>
  <c r="AT5" i="23"/>
  <c r="AL5" i="23"/>
  <c r="D35" i="24"/>
  <c r="D15" i="24"/>
  <c r="D19" i="24"/>
  <c r="AR33" i="23"/>
  <c r="AQ19" i="23"/>
  <c r="AM17" i="23"/>
  <c r="D17" i="24" s="1"/>
  <c r="AS15" i="23"/>
  <c r="AP19" i="23"/>
  <c r="AR15" i="23"/>
  <c r="AP7" i="23"/>
  <c r="AL21" i="23"/>
  <c r="AP27" i="23"/>
  <c r="AO15" i="23"/>
  <c r="AR5" i="23"/>
  <c r="AR3" i="23"/>
  <c r="AS31" i="23"/>
  <c r="AM29" i="23"/>
  <c r="D29" i="24" s="1"/>
  <c r="AN27" i="23"/>
  <c r="AR17" i="23"/>
  <c r="AQ3" i="23"/>
  <c r="AM3" i="23"/>
  <c r="D3" i="24" s="1"/>
  <c r="AM37" i="23"/>
  <c r="D37" i="24" s="1"/>
  <c r="AR31" i="23"/>
  <c r="AL29" i="23"/>
  <c r="AM27" i="23"/>
  <c r="D27" i="24" s="1"/>
  <c r="AR21" i="23"/>
  <c r="AQ17" i="23"/>
  <c r="AS5" i="23"/>
  <c r="AP3" i="23"/>
  <c r="AP15" i="23" l="1"/>
  <c r="AO27" i="23"/>
  <c r="AP17" i="23"/>
  <c r="AL37" i="23"/>
  <c r="AM49" i="23"/>
  <c r="AO3" i="23"/>
  <c r="AT15" i="23"/>
  <c r="AM51" i="23" l="1"/>
  <c r="AM50" i="23"/>
  <c r="AM52" i="23"/>
  <c r="C4" i="35" s="1"/>
  <c r="AM48" i="23"/>
  <c r="AM47" i="23"/>
  <c r="H18" i="24" l="1"/>
  <c r="G18" i="24"/>
  <c r="AM54" i="23"/>
  <c r="AM55" i="23"/>
  <c r="B4" i="35"/>
  <c r="AT29" i="23"/>
  <c r="AR19" i="23"/>
  <c r="AN3" i="23"/>
  <c r="AP37" i="25"/>
  <c r="AO35" i="25"/>
  <c r="AN33" i="25"/>
  <c r="AM31" i="25"/>
  <c r="AO29" i="25"/>
  <c r="AQ27" i="25"/>
  <c r="AS25" i="25"/>
  <c r="AO21" i="25"/>
  <c r="AM17" i="25"/>
  <c r="AO15" i="25"/>
  <c r="AQ7" i="25"/>
  <c r="AT5" i="25"/>
  <c r="AL5" i="25"/>
  <c r="AO3" i="25"/>
  <c r="AP7" i="25"/>
  <c r="AN3" i="25"/>
  <c r="AN7" i="25"/>
  <c r="AT3" i="25"/>
  <c r="AO37" i="25"/>
  <c r="AN35" i="25"/>
  <c r="AM33" i="25"/>
  <c r="AT31" i="25"/>
  <c r="AL31" i="25"/>
  <c r="AN29" i="25"/>
  <c r="AP27" i="25"/>
  <c r="AR25" i="25"/>
  <c r="AN21" i="25"/>
  <c r="AQ19" i="25"/>
  <c r="AT17" i="25"/>
  <c r="AL17" i="25"/>
  <c r="AN15" i="25"/>
  <c r="AS5" i="25"/>
  <c r="AL7" i="25"/>
  <c r="AM35" i="25"/>
  <c r="AT33" i="25"/>
  <c r="AL33" i="25"/>
  <c r="AS31" i="25"/>
  <c r="AM29" i="25"/>
  <c r="D27" i="26" s="1"/>
  <c r="AO27" i="25"/>
  <c r="AM21" i="25"/>
  <c r="AS17" i="25"/>
  <c r="AM15" i="25"/>
  <c r="AO7" i="25"/>
  <c r="AT15" i="25"/>
  <c r="AT27" i="25"/>
  <c r="AM19" i="25"/>
  <c r="AT7" i="25"/>
  <c r="AT35" i="25"/>
  <c r="AL35" i="25"/>
  <c r="AS33" i="25"/>
  <c r="AT29" i="25"/>
  <c r="AL29" i="25"/>
  <c r="AN27" i="25"/>
  <c r="AT21" i="25"/>
  <c r="AL21" i="25"/>
  <c r="AO19" i="25"/>
  <c r="AR17" i="25"/>
  <c r="AL15" i="25"/>
  <c r="AL3" i="25"/>
  <c r="AQ31" i="25"/>
  <c r="AS29" i="25"/>
  <c r="AM27" i="25"/>
  <c r="AS15" i="25"/>
  <c r="AM7" i="25"/>
  <c r="AS37" i="25"/>
  <c r="AR35" i="25"/>
  <c r="AQ33" i="25"/>
  <c r="AL27" i="25"/>
  <c r="AR21" i="25"/>
  <c r="AR37" i="25"/>
  <c r="AQ35" i="25"/>
  <c r="AP33" i="25"/>
  <c r="AO31" i="25"/>
  <c r="AQ29" i="25"/>
  <c r="AS27" i="25"/>
  <c r="AM25" i="25"/>
  <c r="AQ21" i="25"/>
  <c r="AT19" i="25"/>
  <c r="AL19" i="25"/>
  <c r="AO17" i="25"/>
  <c r="AQ15" i="25"/>
  <c r="AS7" i="25"/>
  <c r="AN5" i="25"/>
  <c r="AQ3" i="25"/>
  <c r="AQ37" i="25"/>
  <c r="AP35" i="25"/>
  <c r="AS19" i="25"/>
  <c r="D33" i="26"/>
  <c r="D31" i="26"/>
  <c r="D23" i="26"/>
  <c r="D19" i="26"/>
  <c r="D15" i="26"/>
  <c r="D17" i="26"/>
  <c r="D25" i="26"/>
  <c r="D29" i="26"/>
  <c r="D13" i="26"/>
  <c r="AP31" i="25"/>
  <c r="AR15" i="25"/>
  <c r="AN31" i="25"/>
  <c r="AP15" i="25"/>
  <c r="AM3" i="25"/>
  <c r="AM50" i="25" s="1"/>
  <c r="AQ25" i="25"/>
  <c r="AT25" i="25"/>
  <c r="AR3" i="25"/>
  <c r="AQ17" i="25"/>
  <c r="AN37" i="25"/>
  <c r="AP3" i="25"/>
  <c r="AO33" i="25"/>
  <c r="AM49" i="25"/>
  <c r="AM51" i="25"/>
  <c r="AQ39" i="29"/>
  <c r="AM25" i="29"/>
  <c r="AQ23" i="29"/>
  <c r="AM21" i="29"/>
  <c r="AN17" i="29"/>
  <c r="AQ15" i="29"/>
  <c r="AT13" i="29"/>
  <c r="AL13" i="29"/>
  <c r="AO11" i="29"/>
  <c r="AO45" i="29"/>
  <c r="AP43" i="29"/>
  <c r="AN41" i="29"/>
  <c r="AP39" i="29"/>
  <c r="AQ35" i="29"/>
  <c r="AN33" i="29"/>
  <c r="AT29" i="29"/>
  <c r="AL29" i="29"/>
  <c r="AP27" i="29"/>
  <c r="AN45" i="29"/>
  <c r="AO43" i="29"/>
  <c r="AM41" i="29"/>
  <c r="D41" i="30" s="1"/>
  <c r="AO39" i="29"/>
  <c r="AM45" i="29"/>
  <c r="AN43" i="29"/>
  <c r="AT41" i="29"/>
  <c r="AL41" i="29"/>
  <c r="AN39" i="29"/>
  <c r="AO35" i="29"/>
  <c r="AN27" i="29"/>
  <c r="AR25" i="29"/>
  <c r="AN23" i="29"/>
  <c r="AR21" i="29"/>
  <c r="AS45" i="29"/>
  <c r="AR41" i="29"/>
  <c r="AR45" i="29"/>
  <c r="AS43" i="29"/>
  <c r="AQ41" i="29"/>
  <c r="AS39" i="29"/>
  <c r="AR39" i="29"/>
  <c r="AS35" i="29"/>
  <c r="AN29" i="29"/>
  <c r="AR27" i="29"/>
  <c r="AN25" i="29"/>
  <c r="AR23" i="29"/>
  <c r="AN21" i="29"/>
  <c r="AN35" i="29"/>
  <c r="AO33" i="29"/>
  <c r="AP29" i="29"/>
  <c r="AT27" i="29"/>
  <c r="AP25" i="29"/>
  <c r="AR17" i="29"/>
  <c r="AS15" i="29"/>
  <c r="AS13" i="29"/>
  <c r="AT11" i="29"/>
  <c r="AM35" i="29"/>
  <c r="AO29" i="29"/>
  <c r="AS27" i="29"/>
  <c r="AO25" i="29"/>
  <c r="AT21" i="29"/>
  <c r="AM19" i="29"/>
  <c r="AQ17" i="29"/>
  <c r="AR15" i="29"/>
  <c r="AR13" i="29"/>
  <c r="AS11" i="29"/>
  <c r="AL35" i="29"/>
  <c r="AO27" i="29"/>
  <c r="AL25" i="29"/>
  <c r="AS21" i="29"/>
  <c r="AL19" i="29"/>
  <c r="AP17" i="29"/>
  <c r="AP15" i="29"/>
  <c r="AQ13" i="29"/>
  <c r="AR11" i="29"/>
  <c r="AP45" i="29"/>
  <c r="AS33" i="29"/>
  <c r="AM27" i="29"/>
  <c r="AT23" i="29"/>
  <c r="AQ21" i="29"/>
  <c r="AT19" i="29"/>
  <c r="AO17" i="29"/>
  <c r="AO15" i="29"/>
  <c r="AP13" i="29"/>
  <c r="AQ11" i="29"/>
  <c r="AT45" i="29"/>
  <c r="AR33" i="29"/>
  <c r="AL27" i="29"/>
  <c r="AP21" i="29"/>
  <c r="AM17" i="29"/>
  <c r="D17" i="30" s="1"/>
  <c r="AN15" i="29"/>
  <c r="AO13" i="29"/>
  <c r="AP11" i="29"/>
  <c r="AL45" i="29"/>
  <c r="AS41" i="29"/>
  <c r="AO41" i="29"/>
  <c r="AQ33" i="29"/>
  <c r="AT25" i="29"/>
  <c r="AP23" i="29"/>
  <c r="AO21" i="29"/>
  <c r="AR19" i="29"/>
  <c r="AL17" i="29"/>
  <c r="AM15" i="29"/>
  <c r="D15" i="30" s="1"/>
  <c r="AN13" i="29"/>
  <c r="AN11" i="29"/>
  <c r="AT35" i="29"/>
  <c r="AM33" i="29"/>
  <c r="D33" i="30" s="1"/>
  <c r="AS29" i="29"/>
  <c r="AS25" i="29"/>
  <c r="AO23" i="29"/>
  <c r="AL21" i="29"/>
  <c r="AP19" i="29"/>
  <c r="AT17" i="29"/>
  <c r="AL15" i="29"/>
  <c r="AM13" i="29"/>
  <c r="D13" i="30" s="1"/>
  <c r="AM11" i="29"/>
  <c r="D11" i="30" s="1"/>
  <c r="D27" i="30"/>
  <c r="D35" i="30"/>
  <c r="D25" i="30"/>
  <c r="D45" i="30"/>
  <c r="D21" i="30"/>
  <c r="AL43" i="29"/>
  <c r="AQ43" i="29"/>
  <c r="AL11" i="29"/>
  <c r="AQ29" i="29"/>
  <c r="AT15" i="29"/>
  <c r="AT39" i="29"/>
  <c r="AQ27" i="29"/>
  <c r="AS23" i="29"/>
  <c r="AS19" i="29"/>
  <c r="AL39" i="29"/>
  <c r="AL23" i="29"/>
  <c r="AN19" i="29"/>
  <c r="AM43" i="29"/>
  <c r="D43" i="30" s="1"/>
  <c r="AM48" i="25" l="1"/>
  <c r="D3" i="26"/>
  <c r="AM47" i="25"/>
  <c r="AM52" i="25"/>
  <c r="C4" i="36" s="1"/>
  <c r="D19" i="30"/>
  <c r="G18" i="30" s="1"/>
  <c r="AM39" i="29"/>
  <c r="D39" i="30" s="1"/>
  <c r="AM23" i="29"/>
  <c r="D23" i="30" s="1"/>
  <c r="AQ25" i="29"/>
  <c r="AS17" i="29"/>
  <c r="AO19" i="29"/>
  <c r="AP35" i="29"/>
  <c r="AM55" i="25" l="1"/>
  <c r="AM54" i="25"/>
  <c r="B4" i="36"/>
  <c r="G18" i="26"/>
  <c r="H18" i="26"/>
  <c r="AM47" i="29"/>
  <c r="AM51" i="29"/>
  <c r="AM55" i="29" s="1"/>
  <c r="AM48" i="29"/>
  <c r="AM50" i="29"/>
  <c r="H18" i="30"/>
  <c r="AM49" i="29"/>
  <c r="B5" i="35"/>
  <c r="AM52" i="29"/>
  <c r="C5" i="35" s="1"/>
  <c r="AM54" i="29" l="1"/>
  <c r="AM19" i="31"/>
  <c r="AS15" i="31"/>
  <c r="AO13" i="31"/>
  <c r="AS11" i="31"/>
  <c r="AT9" i="31"/>
  <c r="AL9" i="31"/>
  <c r="AR7" i="31"/>
  <c r="AR15" i="31"/>
  <c r="AN13" i="31"/>
  <c r="AR11" i="31"/>
  <c r="AS9" i="31"/>
  <c r="AQ7" i="31"/>
  <c r="AQ11" i="31"/>
  <c r="AR9" i="31"/>
  <c r="AP7" i="31"/>
  <c r="AO7" i="31"/>
  <c r="AM21" i="31"/>
  <c r="AR19" i="31"/>
  <c r="AP15" i="31"/>
  <c r="AT13" i="31"/>
  <c r="AL13" i="31"/>
  <c r="AS7" i="31"/>
  <c r="AO11" i="31"/>
  <c r="AP9" i="31"/>
  <c r="AN7" i="31"/>
  <c r="AS21" i="31"/>
  <c r="AP19" i="31"/>
  <c r="AN15" i="31"/>
  <c r="AR13" i="31"/>
  <c r="AM7" i="31"/>
  <c r="AO19" i="31"/>
  <c r="AM15" i="31"/>
  <c r="D15" i="32" s="1"/>
  <c r="AQ13" i="31"/>
  <c r="AM11" i="31"/>
  <c r="D11" i="32" s="1"/>
  <c r="AN9" i="31"/>
  <c r="AT7" i="31"/>
  <c r="AL7" i="31"/>
  <c r="AM25" i="31"/>
  <c r="D25" i="32" s="1"/>
  <c r="AQ21" i="31"/>
  <c r="D21" i="32"/>
  <c r="D19" i="32"/>
  <c r="AQ9" i="31"/>
  <c r="AT19" i="31"/>
  <c r="AP13" i="31"/>
  <c r="AT11" i="31"/>
  <c r="AO9" i="31"/>
  <c r="AT25" i="31"/>
  <c r="AL15" i="31"/>
  <c r="AP11" i="31"/>
  <c r="AM9" i="31"/>
  <c r="D9" i="32" s="1"/>
  <c r="AN11" i="31"/>
  <c r="AN19" i="31"/>
  <c r="AM13" i="31"/>
  <c r="D13" i="32" s="1"/>
  <c r="AL11" i="31"/>
  <c r="AM28" i="31" l="1"/>
  <c r="AM32" i="31"/>
  <c r="C5" i="36" s="1"/>
  <c r="AM31" i="31"/>
  <c r="AM27" i="31"/>
  <c r="AM30" i="31"/>
  <c r="AM29" i="31"/>
  <c r="H18" i="32" l="1"/>
  <c r="G18" i="32"/>
  <c r="AM34" i="31"/>
  <c r="AM35" i="31"/>
  <c r="B5" i="36"/>
  <c r="AQ15" i="31"/>
  <c r="AP21" i="31"/>
  <c r="AQ21" i="33"/>
  <c r="AO19" i="33"/>
  <c r="AM17" i="33"/>
  <c r="AS15" i="33"/>
  <c r="AO13" i="33"/>
  <c r="AO11" i="33"/>
  <c r="AO9" i="33"/>
  <c r="AM7" i="33"/>
  <c r="D7" i="34" s="1"/>
  <c r="AT17" i="33"/>
  <c r="AL17" i="33"/>
  <c r="AR15" i="33"/>
  <c r="AN13" i="33"/>
  <c r="AN11" i="33"/>
  <c r="AN9" i="33"/>
  <c r="AT7" i="33"/>
  <c r="AL7" i="33"/>
  <c r="AP11" i="33"/>
  <c r="AS17" i="33"/>
  <c r="AQ15" i="33"/>
  <c r="AM13" i="33"/>
  <c r="D13" i="34" s="1"/>
  <c r="AM11" i="33"/>
  <c r="D11" i="34" s="1"/>
  <c r="AM9" i="33"/>
  <c r="AS7" i="33"/>
  <c r="AR7" i="33"/>
  <c r="AR11" i="33"/>
  <c r="AR17" i="33"/>
  <c r="AT13" i="33"/>
  <c r="AL13" i="33"/>
  <c r="AT11" i="33"/>
  <c r="AL11" i="33"/>
  <c r="AT9" i="33"/>
  <c r="AL9" i="33"/>
  <c r="AR19" i="33"/>
  <c r="AQ17" i="33"/>
  <c r="AO15" i="33"/>
  <c r="AS13" i="33"/>
  <c r="AS9" i="33"/>
  <c r="AQ7" i="33"/>
  <c r="AT21" i="33"/>
  <c r="AL21" i="33"/>
  <c r="AR13" i="33"/>
  <c r="AS21" i="33"/>
  <c r="AQ19" i="33"/>
  <c r="AM15" i="33"/>
  <c r="D15" i="34" s="1"/>
  <c r="AQ13" i="33"/>
  <c r="AQ11" i="33"/>
  <c r="AQ9" i="33"/>
  <c r="AO7" i="33"/>
  <c r="AR21" i="33"/>
  <c r="AP19" i="33"/>
  <c r="D17" i="34"/>
  <c r="AP17" i="33"/>
  <c r="AL15" i="33"/>
  <c r="AP21" i="33"/>
  <c r="AO17" i="33"/>
  <c r="AP7" i="33"/>
  <c r="AN17" i="33"/>
  <c r="AN7" i="33"/>
  <c r="AP15" i="33"/>
  <c r="AN19" i="33"/>
  <c r="D9" i="34" l="1"/>
  <c r="AR9" i="33"/>
  <c r="AP9" i="33"/>
  <c r="AP13" i="33"/>
  <c r="AT15" i="33"/>
  <c r="AN15" i="33"/>
  <c r="AM25" i="33"/>
  <c r="AM27" i="33"/>
  <c r="C5" i="37"/>
  <c r="AM23" i="33"/>
  <c r="B5" i="37" s="1"/>
  <c r="H18" i="34"/>
  <c r="AM24" i="33"/>
  <c r="AM26" i="33"/>
  <c r="G18" i="34" l="1"/>
  <c r="AM31" i="33"/>
  <c r="AM30" i="33"/>
  <c r="AP25" i="25"/>
  <c r="AR29" i="25"/>
  <c r="AR5" i="25"/>
  <c r="AN25" i="25"/>
  <c r="AO5" i="25"/>
  <c r="AR31" i="25"/>
  <c r="AR19" i="25"/>
  <c r="AQ5" i="25"/>
  <c r="AP17" i="25"/>
</calcChain>
</file>

<file path=xl/comments1.xml><?xml version="1.0" encoding="utf-8"?>
<comments xmlns="http://schemas.openxmlformats.org/spreadsheetml/2006/main">
  <authors>
    <author/>
  </authors>
  <commentList>
    <comment ref="H7" authorId="0" shapeId="0">
      <text>
        <r>
          <rPr>
            <sz val="11"/>
            <color rgb="FF000000"/>
            <rFont val="Calibri"/>
            <family val="2"/>
          </rPr>
          <t>Check These. Especially Last column with 2 hours. Think you switched the same/paraphrase data around
	-Abigail Csik</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<sst xmlns="http://schemas.openxmlformats.org/spreadsheetml/2006/main" count="2588" uniqueCount="233">
  <si>
    <t>APA citation</t>
  </si>
  <si>
    <t>Source</t>
  </si>
  <si>
    <t>Year</t>
  </si>
  <si>
    <t>Memory test</t>
  </si>
  <si>
    <t>Measure</t>
  </si>
  <si>
    <t>Distractor</t>
  </si>
  <si>
    <t>Sample Size</t>
  </si>
  <si>
    <t>Memoranda</t>
  </si>
  <si>
    <t>Additional info</t>
  </si>
  <si>
    <t>Intercept Linear</t>
  </si>
  <si>
    <t>Exponent Power</t>
  </si>
  <si>
    <t>Constant Power</t>
  </si>
  <si>
    <t>words</t>
  </si>
  <si>
    <t>Figure 5</t>
  </si>
  <si>
    <t>Table 1</t>
  </si>
  <si>
    <t>Table 3</t>
  </si>
  <si>
    <t>Figure 3</t>
  </si>
  <si>
    <t xml:space="preserve">JEPLMC </t>
  </si>
  <si>
    <t>Recognition</t>
  </si>
  <si>
    <t>repetition/subtraction</t>
  </si>
  <si>
    <t>5.9 seconds</t>
  </si>
  <si>
    <t>odd/even</t>
  </si>
  <si>
    <t>Table 2</t>
  </si>
  <si>
    <t>6 seconds</t>
  </si>
  <si>
    <t>Figure 2</t>
  </si>
  <si>
    <t>Figure 8</t>
  </si>
  <si>
    <t>JEPLMC</t>
  </si>
  <si>
    <t>QJEP</t>
  </si>
  <si>
    <t>Figure 1</t>
  </si>
  <si>
    <t>JVLVB</t>
  </si>
  <si>
    <t>90 minutes</t>
  </si>
  <si>
    <t>Stories</t>
  </si>
  <si>
    <t>math</t>
  </si>
  <si>
    <t>Memory and Cognition</t>
  </si>
  <si>
    <t>M&amp;C</t>
  </si>
  <si>
    <t>2 hours</t>
  </si>
  <si>
    <t>Bull Psych Soc</t>
  </si>
  <si>
    <t>24 hours</t>
  </si>
  <si>
    <t>Hashtroudi, S., Ferguson, S., Rappold, V., Chrosniak, L., &amp; Roediger, Henry L. (1988). Data-Driven and Conceptually Driven Processes in Partial-Word Identification and Recognition. Journal of Experimental Psychology: Learning, Memory, and Cognition, 14(4), 749-757.</t>
  </si>
  <si>
    <t>AJP</t>
  </si>
  <si>
    <t>2 days</t>
  </si>
  <si>
    <t>7 days</t>
  </si>
  <si>
    <t>JML</t>
  </si>
  <si>
    <t xml:space="preserve">Mammarella, N., Farifield, B., &amp; Cornoldi, C. (2007). Reality monitoring and resistance to forgetting under short delay intervals. The Quarterly Journal of Experimental Psychology, 60(4), 551-570.
</t>
  </si>
  <si>
    <t>high</t>
  </si>
  <si>
    <t>low</t>
  </si>
  <si>
    <t>Strong, E. K., (1913). The effect of time-interval upon recognition memory. The Psychological Review, 20(5), 339-372.</t>
  </si>
  <si>
    <t>Psych Review</t>
  </si>
  <si>
    <t xml:space="preserve">mental arithmetic </t>
  </si>
  <si>
    <t>Thapar, A., &amp; McDermott, K. (2001). False recall and false recognition induced by presentation of associated words: Effects of retention interval and level of processing. Memory &amp; Cognition, 29(3), 424-432.</t>
  </si>
  <si>
    <t>42 days</t>
  </si>
  <si>
    <t>Nunoi, M., &amp; Yoshikawa, S. (2016). Deep processing makes stimuli more preferable over long durations. Journal of Cognitive Psychology, 28(6), 756-763.</t>
  </si>
  <si>
    <t>J of Cog Psy 2016</t>
  </si>
  <si>
    <t>6 weeks</t>
  </si>
  <si>
    <t>Radvansky, G., O’Rear, A., &amp; Fisher, A. (2017). Event models and the fan effect. Memory &amp; Cognition, 45(6), 1028-1044.</t>
  </si>
  <si>
    <t>2 Weeks</t>
  </si>
  <si>
    <t>3 weeks</t>
  </si>
  <si>
    <t>Tunney, &amp; Bezzina. (2007). Effects of retention intervals on receiver operating characteristics in artificial grammar learning. Acta Psychologica, 125(1), 37-50.</t>
  </si>
  <si>
    <t>Acta Psych</t>
  </si>
  <si>
    <t>2 weeks</t>
  </si>
  <si>
    <t>Faces</t>
  </si>
  <si>
    <t>12 Weeks</t>
  </si>
  <si>
    <t xml:space="preserve">Gehring, R. E., Toglia, M. P., &amp; Kimble, G. A. (1976). Recognition memory for words and pictures at short and long retention intervals. Memory &amp; Cognition, 4(3), 256-260.
</t>
  </si>
  <si>
    <t>3 months</t>
  </si>
  <si>
    <t>2 months</t>
  </si>
  <si>
    <t xml:space="preserve">Seamon, J. G., Luo, C. R., Kopecky, J. J., Price, C. A., Rothschild, L., Fung, N. S., &amp; Schwartz, M. A. (2002). Are false memories more difficult to forget than accurate memories? The effect of retention interval on recall and recognition. Memory and Cognition, 30(7), 1054-1064.
</t>
  </si>
  <si>
    <t xml:space="preserve">Takashima, A., Petersson, K. M., Rutters, F., Tendolkar, I., Jensen, O., Zwarts, M. J., McNaughton, B.L., &amp; Fernandez, G. (2006). Declarative memory consolidation in humans: A prospective functional magnetic resonance imaging study. Proceedings of the National Academy of Sciences of the United States of America, 103(3), 756-761.
</t>
  </si>
  <si>
    <t>PNAS</t>
  </si>
  <si>
    <t>Design</t>
  </si>
  <si>
    <r>
      <t>Graf, P., &amp; Mandler, G. (1984). Activation Makes Words More Accessible, but Not Necessarily More Retrievable. </t>
    </r>
    <r>
      <rPr>
        <i/>
        <sz val="10"/>
        <rFont val="Calibri Light"/>
        <family val="2"/>
        <scheme val="major"/>
      </rPr>
      <t>Journal of Verbal Learning and Verbal Behavior,</t>
    </r>
    <r>
      <rPr>
        <sz val="10"/>
        <rFont val="Calibri Light"/>
        <family val="2"/>
        <scheme val="major"/>
      </rPr>
      <t> </t>
    </r>
    <r>
      <rPr>
        <i/>
        <sz val="10"/>
        <rFont val="Calibri Light"/>
        <family val="2"/>
        <scheme val="major"/>
      </rPr>
      <t>23</t>
    </r>
    <r>
      <rPr>
        <sz val="10"/>
        <rFont val="Calibri Light"/>
        <family val="2"/>
        <scheme val="major"/>
      </rPr>
      <t>(5), 553-568.</t>
    </r>
  </si>
  <si>
    <r>
      <t>Ricker, T. J., &amp; Cowan, N. (2010). Loss of visual working memory within seconds: The combined use of refreshable and non-refreshable features.</t>
    </r>
    <r>
      <rPr>
        <i/>
        <sz val="10"/>
        <rFont val="Calibri Light"/>
        <family val="2"/>
        <scheme val="major"/>
      </rPr>
      <t xml:space="preserve"> Journal of Experimental Psychology: Learning, Memory, and Cognition, 36</t>
    </r>
    <r>
      <rPr>
        <sz val="10"/>
        <rFont val="Calibri Light"/>
        <family val="2"/>
        <scheme val="major"/>
      </rPr>
      <t>(6), 1355-1368.</t>
    </r>
  </si>
  <si>
    <r>
      <t xml:space="preserve">Begg, I. &amp; Wickelgren, W. A. (1974). Retention functions for syntactic and lexical vs semantic information in sentence recognition memory. </t>
    </r>
    <r>
      <rPr>
        <i/>
        <sz val="10"/>
        <color theme="1"/>
        <rFont val="Calibri Light"/>
        <family val="2"/>
        <scheme val="major"/>
      </rPr>
      <t>Memory &amp; Cognition, 2</t>
    </r>
    <r>
      <rPr>
        <sz val="10"/>
        <color theme="1"/>
        <rFont val="Calibri Light"/>
        <family val="2"/>
        <scheme val="major"/>
      </rPr>
      <t>(2), 353-359.</t>
    </r>
  </si>
  <si>
    <t>between</t>
  </si>
  <si>
    <r>
      <t xml:space="preserve">Chance, J. E., &amp; Goldstein, A. G. (1987). Retention interval and face recognition: Response latency measures. </t>
    </r>
    <r>
      <rPr>
        <i/>
        <sz val="10"/>
        <color rgb="FF000000"/>
        <rFont val="Calibri Light"/>
        <family val="2"/>
        <scheme val="major"/>
      </rPr>
      <t>Bulletin of the Psychonomic Society, 25</t>
    </r>
    <r>
      <rPr>
        <sz val="10"/>
        <color rgb="FF000000"/>
        <rFont val="Calibri Light"/>
        <family val="2"/>
        <scheme val="major"/>
      </rPr>
      <t>(6), 415-418.</t>
    </r>
  </si>
  <si>
    <t>B Linear</t>
  </si>
  <si>
    <t>Memory Data</t>
  </si>
  <si>
    <r>
      <t>Linear R</t>
    </r>
    <r>
      <rPr>
        <vertAlign val="superscript"/>
        <sz val="10"/>
        <color rgb="FF000000"/>
        <rFont val="Calibri Light"/>
        <family val="2"/>
        <scheme val="major"/>
      </rPr>
      <t>2</t>
    </r>
  </si>
  <si>
    <r>
      <t>Power R</t>
    </r>
    <r>
      <rPr>
        <vertAlign val="superscript"/>
        <sz val="10"/>
        <color rgb="FF000000"/>
        <rFont val="Calibri Light"/>
        <family val="2"/>
        <scheme val="major"/>
      </rPr>
      <t>2</t>
    </r>
  </si>
  <si>
    <t>exp sqrt(t)</t>
  </si>
  <si>
    <t>hyperbolic sqrt(t)</t>
  </si>
  <si>
    <t>Log Exponent</t>
  </si>
  <si>
    <t>Date Updated</t>
  </si>
  <si>
    <t>pictures</t>
  </si>
  <si>
    <t>free forms</t>
  </si>
  <si>
    <t>word pairs</t>
  </si>
  <si>
    <t>Phase by Longest RI</t>
  </si>
  <si>
    <t>Avg RI</t>
  </si>
  <si>
    <t>Longest RI</t>
  </si>
  <si>
    <t>faces</t>
  </si>
  <si>
    <t>controls</t>
  </si>
  <si>
    <t>Figure 7</t>
  </si>
  <si>
    <t>Cortex</t>
  </si>
  <si>
    <t>Journal of Neurology, Neurosurgery &amp; Psychiatry</t>
  </si>
  <si>
    <t>Davidson, D. (1994). Recognition and recall of irrelevant and interruptive atypical actions in script-based stories. Journal of Memory and Language, 33(6), 757-775.</t>
  </si>
  <si>
    <t>script</t>
  </si>
  <si>
    <t>irrelevant</t>
  </si>
  <si>
    <t>interruptive</t>
  </si>
  <si>
    <t>Smith, D. A., &amp; Graesser, A. C. (1981). Memory for actions in scripted activities as a function of typicality, retention interval, and retrieval task. Memory &amp; Cognition, 9(6), 550-559.</t>
  </si>
  <si>
    <t>Memory &amp; Cognition</t>
  </si>
  <si>
    <t>typical</t>
  </si>
  <si>
    <t>atypical</t>
  </si>
  <si>
    <t>Talamini, L. M., &amp; Gorree, E. (2012). Aging memories: Differential decay of episodic memory components. Learning &amp; Memory, 19(6), 239-246.</t>
  </si>
  <si>
    <t>Learning &amp; Memory</t>
  </si>
  <si>
    <t>object memory</t>
  </si>
  <si>
    <t>Figures 2-3</t>
  </si>
  <si>
    <t>91 days</t>
  </si>
  <si>
    <t>Mayes, A. R., Meudell, P. R., Mann, D., &amp; Pickering, A. (1988). Location of lesions in Korsakoff's syndrome: neuropsychological and neuropathological data on two patients. Cortex, 24(3), 367-388.</t>
  </si>
  <si>
    <t>1 day</t>
  </si>
  <si>
    <t>Fisher, J. S., &amp; Radvansky, G. A. (2019). Linear forgetting. Journal of Memory and Language, 108, 104035.</t>
  </si>
  <si>
    <t>sentences</t>
  </si>
  <si>
    <t>Group Size</t>
  </si>
  <si>
    <t>Initial delay = (32 faces * 6 seconds) + (5 words * 6 seconds) +time for word recog trials and instructions</t>
  </si>
  <si>
    <t>initial delay = (40 stimuli X 2 seconds display and ISI)/2</t>
  </si>
  <si>
    <t>initial delay = (3 lists * 63 items * 5 seconds)/2</t>
  </si>
  <si>
    <t>Avg Change</t>
  </si>
  <si>
    <t>Tables I &amp; II</t>
  </si>
  <si>
    <t>color</t>
  </si>
  <si>
    <t>Shortest RI</t>
  </si>
  <si>
    <t>Range</t>
  </si>
  <si>
    <t>Initial Memory</t>
  </si>
  <si>
    <t>Obs /person</t>
  </si>
  <si>
    <t xml:space="preserve"> Data Amount</t>
  </si>
  <si>
    <t>Complexity</t>
  </si>
  <si>
    <t>Learning Degree</t>
  </si>
  <si>
    <t>Test Code</t>
  </si>
  <si>
    <t>Studied &gt; 1</t>
  </si>
  <si>
    <t>Distractor Type</t>
  </si>
  <si>
    <t>Mem Code</t>
  </si>
  <si>
    <t>Num RI's</t>
  </si>
  <si>
    <t>Longest RI (paper)</t>
  </si>
  <si>
    <t>Phase by Avg RI</t>
  </si>
  <si>
    <t>Exp.</t>
  </si>
  <si>
    <t>within</t>
  </si>
  <si>
    <t>letters</t>
  </si>
  <si>
    <t>stories</t>
  </si>
  <si>
    <t>Mean</t>
  </si>
  <si>
    <t>whole</t>
  </si>
  <si>
    <t>enacted</t>
  </si>
  <si>
    <t>imagined</t>
  </si>
  <si>
    <t>deep 5x</t>
  </si>
  <si>
    <t>deep 1x</t>
  </si>
  <si>
    <t>shallow 5x</t>
  </si>
  <si>
    <t>shallow 1x</t>
  </si>
  <si>
    <t>from authors</t>
  </si>
  <si>
    <t>no load</t>
  </si>
  <si>
    <t>repeat</t>
  </si>
  <si>
    <t>subtract</t>
  </si>
  <si>
    <t>visual array</t>
  </si>
  <si>
    <t>characters</t>
  </si>
  <si>
    <t>parity</t>
  </si>
  <si>
    <t>Figure 6</t>
  </si>
  <si>
    <t>test</t>
  </si>
  <si>
    <t>recent</t>
  </si>
  <si>
    <t>remote</t>
  </si>
  <si>
    <t>Supplement</t>
  </si>
  <si>
    <t>pleasantness</t>
  </si>
  <si>
    <t>vowel</t>
  </si>
  <si>
    <t>strings</t>
  </si>
  <si>
    <t>1917-18</t>
  </si>
  <si>
    <t>1923-24 trained</t>
  </si>
  <si>
    <t>1923-24 untrained</t>
  </si>
  <si>
    <t>Wylie, M. (1926). Recognition of Chinese Symbols. The American Journal of Psychology, 37(2), 224-232.</t>
  </si>
  <si>
    <r>
      <t>Log R</t>
    </r>
    <r>
      <rPr>
        <vertAlign val="superscript"/>
        <sz val="10"/>
        <color rgb="FF000000"/>
        <rFont val="Calibri Light"/>
        <family val="2"/>
        <scheme val="major"/>
      </rPr>
      <t>2</t>
    </r>
  </si>
  <si>
    <r>
      <t>Exp sqrt(t) R</t>
    </r>
    <r>
      <rPr>
        <vertAlign val="superscript"/>
        <sz val="10"/>
        <color rgb="FF000000"/>
        <rFont val="Calibri Light"/>
        <family val="2"/>
        <scheme val="major"/>
      </rPr>
      <t>2</t>
    </r>
  </si>
  <si>
    <r>
      <t>Hyperbolic sqrt(t) R</t>
    </r>
    <r>
      <rPr>
        <vertAlign val="superscript"/>
        <sz val="10"/>
        <color rgb="FF000000"/>
        <rFont val="Calibri Light"/>
        <family val="2"/>
        <scheme val="major"/>
      </rPr>
      <t>2</t>
    </r>
  </si>
  <si>
    <t>Design code</t>
  </si>
  <si>
    <t>Max</t>
  </si>
  <si>
    <t>Min</t>
  </si>
  <si>
    <t>SD</t>
  </si>
  <si>
    <t>Kopelman, M. D. (1985). Rates of forgetting in Alzheimer-type dementia and Korsakoff's syndrome. Neuropsychologia, 23(5), 623-638.</t>
  </si>
  <si>
    <t>Levin, H. S., High, W. M., &amp; Eisenberg, H. M. (1988). Learning and forgetting during posttraumatic amnesia in head injured patients. Journal of Neurology, Neurosurgery &amp; Psychiatry, 51(1), 14-20.</t>
  </si>
  <si>
    <t>32 hours</t>
  </si>
  <si>
    <t>McKee, R. D., &amp; Squire, L. R. (1992). Equivalent forgetting rates in long-term memory for diencephalic and medial temporal lobe amnesia. Journal of Neuroscience, 12(10), 3765-3772.</t>
  </si>
  <si>
    <t>J of Neuroscience</t>
  </si>
  <si>
    <t>31 hours</t>
  </si>
  <si>
    <t>Siler, J., &amp; Benjamin, A. S. (2019). Long-term inference and memory following retrieval practice. Memory &amp; Cognition, 48, 645-654.</t>
  </si>
  <si>
    <t>supplement</t>
  </si>
  <si>
    <t>restudy</t>
  </si>
  <si>
    <t>25 days</t>
  </si>
  <si>
    <t>initial delay = 60 s for instructions</t>
  </si>
  <si>
    <r>
      <t>Linear R</t>
    </r>
    <r>
      <rPr>
        <b/>
        <vertAlign val="superscript"/>
        <sz val="10"/>
        <color rgb="FF000000"/>
        <rFont val="Calibri Light"/>
        <family val="2"/>
        <scheme val="major"/>
      </rPr>
      <t>2</t>
    </r>
  </si>
  <si>
    <r>
      <t>Power R</t>
    </r>
    <r>
      <rPr>
        <b/>
        <vertAlign val="superscript"/>
        <sz val="10"/>
        <color rgb="FF000000"/>
        <rFont val="Calibri Light"/>
        <family val="2"/>
        <scheme val="major"/>
      </rPr>
      <t>2</t>
    </r>
  </si>
  <si>
    <r>
      <t>Log R</t>
    </r>
    <r>
      <rPr>
        <b/>
        <vertAlign val="superscript"/>
        <sz val="10"/>
        <color rgb="FF000000"/>
        <rFont val="Calibri Light"/>
        <family val="2"/>
        <scheme val="major"/>
      </rPr>
      <t>2</t>
    </r>
  </si>
  <si>
    <r>
      <t>Exp sqrt(t) R</t>
    </r>
    <r>
      <rPr>
        <b/>
        <vertAlign val="superscript"/>
        <sz val="10"/>
        <color rgb="FF000000"/>
        <rFont val="Calibri Light"/>
        <family val="2"/>
        <scheme val="major"/>
      </rPr>
      <t>2</t>
    </r>
  </si>
  <si>
    <r>
      <t>Hyperbolic sqrt(t) R</t>
    </r>
    <r>
      <rPr>
        <b/>
        <vertAlign val="superscript"/>
        <sz val="10"/>
        <color rgb="FF000000"/>
        <rFont val="Calibri Light"/>
        <family val="2"/>
        <scheme val="major"/>
      </rPr>
      <t>2</t>
    </r>
  </si>
  <si>
    <t>WM</t>
  </si>
  <si>
    <t>LLM</t>
  </si>
  <si>
    <t>SE</t>
  </si>
  <si>
    <t>Median</t>
  </si>
  <si>
    <t>structure</t>
  </si>
  <si>
    <t>e-LTM</t>
  </si>
  <si>
    <t>t-LTM</t>
  </si>
  <si>
    <r>
      <t xml:space="preserve">Barkowitz, P., &amp; Brigham, J. C. (1982). Recognition of Faces: Own-Race Bias, Incentive, and Time Delay. </t>
    </r>
    <r>
      <rPr>
        <i/>
        <sz val="10"/>
        <color rgb="FF000000"/>
        <rFont val="Calibri Light"/>
        <family val="2"/>
        <scheme val="major"/>
      </rPr>
      <t>Journal of Social Psychology, 12</t>
    </r>
    <r>
      <rPr>
        <sz val="10"/>
        <color rgb="FF000000"/>
        <rFont val="Calibri Light"/>
        <family val="2"/>
        <scheme val="major"/>
      </rPr>
      <t>(4), 255-268.</t>
    </r>
  </si>
  <si>
    <t>J Applied Soc Psych</t>
  </si>
  <si>
    <t>female</t>
  </si>
  <si>
    <t>no</t>
  </si>
  <si>
    <t>d'</t>
  </si>
  <si>
    <t>male</t>
  </si>
  <si>
    <r>
      <t xml:space="preserve">Lane, Scott, D., Cherek, D. R., Lieving, L. M., &amp; Tcheremissine, O. V. (2005). Marijuana effects on human forgetting functions. </t>
    </r>
    <r>
      <rPr>
        <i/>
        <sz val="10"/>
        <color rgb="FF000000"/>
        <rFont val="Calibri Light"/>
        <family val="2"/>
        <scheme val="major"/>
      </rPr>
      <t>Journal of the Experimental Analysis of Behavior, 83,</t>
    </r>
    <r>
      <rPr>
        <sz val="10"/>
        <color rgb="FF000000"/>
        <rFont val="Calibri Light"/>
        <family val="2"/>
        <scheme val="major"/>
      </rPr>
      <t>67-83.</t>
    </r>
  </si>
  <si>
    <t>J of Exp Analysis of Behav</t>
  </si>
  <si>
    <t>24 seconds</t>
  </si>
  <si>
    <t>Table IV</t>
  </si>
  <si>
    <t>studied d'</t>
  </si>
  <si>
    <t>Wickelgren, W. (1972). Trace resistance and the decay of long-term memory. Journal of Mathematical Psychology, 9(4), 418-455.</t>
  </si>
  <si>
    <t>Jrnl Math Psy</t>
  </si>
  <si>
    <t>3.5 s</t>
  </si>
  <si>
    <t>11.7 minutes</t>
  </si>
  <si>
    <t>7 s</t>
  </si>
  <si>
    <t>23.3 minutes</t>
  </si>
  <si>
    <t>high memorability</t>
  </si>
  <si>
    <t>medium memorability</t>
  </si>
  <si>
    <t>low memorability</t>
  </si>
  <si>
    <t>no spacing</t>
  </si>
  <si>
    <t>yes</t>
  </si>
  <si>
    <t>60 min</t>
  </si>
  <si>
    <t>1 min spacing</t>
  </si>
  <si>
    <t>2 min spacing</t>
  </si>
  <si>
    <t>64 minutes</t>
  </si>
  <si>
    <t>10 min spacing</t>
  </si>
  <si>
    <t>80 minutes</t>
  </si>
  <si>
    <t>2/minute</t>
  </si>
  <si>
    <t>7 hours</t>
  </si>
  <si>
    <t>4/minute</t>
  </si>
  <si>
    <t>16+8/minute</t>
  </si>
  <si>
    <t>14 hours</t>
  </si>
  <si>
    <t xml:space="preserve">Wickelgren, W. (1972). Trace resistance and the decay of long-term memory. Journal of Mathematical Psychology, 9(4), 418-455.
</t>
  </si>
  <si>
    <t>English-Foreign pairs</t>
  </si>
  <si>
    <t>110 weeks</t>
  </si>
  <si>
    <t>Wickelgren, W. (1974). Single-trace fragility theory of memory dynamics. Memory &amp; Cognition, 2(4), 775-780.</t>
  </si>
  <si>
    <t>normals</t>
  </si>
  <si>
    <t>11.667 minutes</t>
  </si>
  <si>
    <t>Wickelgren, W. (1975). Alcoholic intoxication and memory storage dynamics. Memory &amp; Cognition, 3(4), 385-9.</t>
  </si>
  <si>
    <t>sober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</si>
</sst>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
  </numFmts>
  <fonts count="15" x14ac:knownFonts="1">
    <font>
      <sz val="11"/>
      <color rgb="FF000000"/>
      <name val="Calibri"/>
    </font>
    <font>
      <sz val="11"/>
      <color theme="1"/>
      <name val="Calibri"/>
      <family val="2"/>
      <scheme val="minor"/>
    </font>
    <font>
      <sz val="11"/>
      <color rgb="FF000000"/>
      <name val="Calibri"/>
      <family val="2"/>
    </font>
    <font>
      <sz val="10"/>
      <color rgb="FF000000"/>
      <name val="Calibri Light"/>
      <family val="2"/>
      <scheme val="major"/>
    </font>
    <font>
      <sz val="10"/>
      <name val="Calibri Light"/>
      <family val="2"/>
      <scheme val="major"/>
    </font>
    <font>
      <i/>
      <sz val="10"/>
      <name val="Calibri Light"/>
      <family val="2"/>
      <scheme val="major"/>
    </font>
    <font>
      <sz val="10"/>
      <color theme="1"/>
      <name val="Calibri Light"/>
      <family val="2"/>
      <scheme val="major"/>
    </font>
    <font>
      <i/>
      <sz val="10"/>
      <color theme="1"/>
      <name val="Calibri Light"/>
      <family val="2"/>
      <scheme val="major"/>
    </font>
    <font>
      <i/>
      <sz val="10"/>
      <color rgb="FF000000"/>
      <name val="Calibri Light"/>
      <family val="2"/>
      <scheme val="major"/>
    </font>
    <font>
      <vertAlign val="superscript"/>
      <sz val="10"/>
      <color rgb="FF000000"/>
      <name val="Calibri Light"/>
      <family val="2"/>
      <scheme val="major"/>
    </font>
    <font>
      <sz val="10"/>
      <color rgb="FF000000"/>
      <name val="Calibri"/>
      <family val="2"/>
    </font>
    <font>
      <sz val="11"/>
      <color rgb="FF222222"/>
      <name val="Calibri"/>
      <family val="2"/>
      <scheme val="minor"/>
    </font>
    <font>
      <b/>
      <sz val="10"/>
      <name val="Calibri Light"/>
      <family val="2"/>
      <scheme val="major"/>
    </font>
    <font>
      <b/>
      <sz val="10"/>
      <color rgb="FF000000"/>
      <name val="Calibri Light"/>
      <family val="2"/>
      <scheme val="major"/>
    </font>
    <font>
      <b/>
      <vertAlign val="superscript"/>
      <sz val="10"/>
      <color rgb="FF000000"/>
      <name val="Calibri Light"/>
      <family val="2"/>
      <scheme val="major"/>
    </font>
  </fonts>
  <fills count="6">
    <fill>
      <patternFill patternType="none"/>
    </fill>
    <fill>
      <patternFill patternType="gray125"/>
    </fill>
    <fill>
      <patternFill patternType="solid">
        <fgColor theme="1"/>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4" tint="0.79998168889431442"/>
        <bgColor indexed="64"/>
      </patternFill>
    </fill>
  </fills>
  <borders count="1">
    <border>
      <left/>
      <right/>
      <top/>
      <bottom/>
      <diagonal/>
    </border>
  </borders>
  <cellStyleXfs count="3">
    <xf numFmtId="0" fontId="0" fillId="0" borderId="0"/>
    <xf numFmtId="0" fontId="2" fillId="0" borderId="0"/>
    <xf numFmtId="0" fontId="1" fillId="0" borderId="0"/>
  </cellStyleXfs>
  <cellXfs count="110">
    <xf numFmtId="0" fontId="0" fillId="0" borderId="0" xfId="0" applyFont="1" applyAlignment="1"/>
    <xf numFmtId="0" fontId="4" fillId="0" borderId="0" xfId="0" applyFont="1" applyFill="1" applyBorder="1" applyAlignment="1">
      <alignment horizontal="left" vertical="center"/>
    </xf>
    <xf numFmtId="2" fontId="4" fillId="0" borderId="0" xfId="0" applyNumberFormat="1" applyFont="1" applyFill="1" applyBorder="1" applyAlignment="1">
      <alignment horizontal="left" vertical="center"/>
    </xf>
    <xf numFmtId="0" fontId="4" fillId="2" borderId="0" xfId="0" applyFont="1" applyFill="1" applyBorder="1"/>
    <xf numFmtId="0" fontId="4" fillId="2" borderId="0" xfId="0" applyFont="1" applyFill="1" applyBorder="1" applyAlignment="1">
      <alignment horizontal="left" vertical="center"/>
    </xf>
    <xf numFmtId="164" fontId="4" fillId="2" borderId="0" xfId="0" applyNumberFormat="1" applyFont="1" applyFill="1" applyBorder="1" applyAlignment="1">
      <alignment horizontal="left" vertical="center"/>
    </xf>
    <xf numFmtId="2" fontId="3" fillId="0" borderId="0" xfId="0" applyNumberFormat="1" applyFont="1" applyFill="1" applyBorder="1" applyAlignment="1">
      <alignment vertical="center"/>
    </xf>
    <xf numFmtId="2" fontId="3" fillId="0" borderId="0" xfId="0" applyNumberFormat="1" applyFont="1" applyFill="1" applyBorder="1" applyAlignment="1">
      <alignment horizontal="left" vertical="center"/>
    </xf>
    <xf numFmtId="0" fontId="4" fillId="2" borderId="0" xfId="0" applyFont="1" applyFill="1" applyBorder="1" applyAlignment="1"/>
    <xf numFmtId="0" fontId="4" fillId="0" borderId="0" xfId="0" applyFont="1" applyFill="1" applyBorder="1" applyAlignment="1"/>
    <xf numFmtId="0" fontId="3" fillId="0" borderId="0" xfId="0" applyFont="1" applyFill="1" applyBorder="1" applyAlignment="1"/>
    <xf numFmtId="0" fontId="3" fillId="0" borderId="0" xfId="0" applyFont="1" applyFill="1" applyBorder="1" applyAlignment="1">
      <alignment horizontal="left" vertical="center"/>
    </xf>
    <xf numFmtId="164" fontId="4" fillId="0" borderId="0" xfId="0" applyNumberFormat="1" applyFont="1" applyFill="1" applyBorder="1" applyAlignment="1">
      <alignment horizontal="left" vertical="center"/>
    </xf>
    <xf numFmtId="0" fontId="6" fillId="0" borderId="0" xfId="0" applyFont="1" applyFill="1" applyBorder="1" applyAlignment="1">
      <alignment horizontal="left" vertical="center"/>
    </xf>
    <xf numFmtId="2" fontId="6" fillId="0" borderId="0" xfId="0" applyNumberFormat="1" applyFont="1" applyFill="1" applyBorder="1" applyAlignment="1">
      <alignment horizontal="left" vertical="center"/>
    </xf>
    <xf numFmtId="0" fontId="6" fillId="0" borderId="0" xfId="0" applyFont="1" applyFill="1" applyBorder="1" applyAlignment="1"/>
    <xf numFmtId="2" fontId="3" fillId="0" borderId="0" xfId="0" applyNumberFormat="1" applyFont="1" applyFill="1" applyBorder="1" applyAlignment="1"/>
    <xf numFmtId="0" fontId="4" fillId="0" borderId="0" xfId="0" applyFont="1" applyFill="1" applyBorder="1" applyAlignment="1">
      <alignment horizontal="left" vertical="center" wrapText="1"/>
    </xf>
    <xf numFmtId="1" fontId="4" fillId="0" borderId="0" xfId="0" applyNumberFormat="1" applyFont="1" applyFill="1" applyBorder="1" applyAlignment="1">
      <alignment horizontal="left" vertical="center"/>
    </xf>
    <xf numFmtId="2" fontId="4" fillId="0" borderId="0" xfId="0" applyNumberFormat="1" applyFont="1" applyFill="1" applyBorder="1" applyAlignment="1">
      <alignment horizontal="left" vertical="center"/>
    </xf>
    <xf numFmtId="2" fontId="4" fillId="0" borderId="0" xfId="0" applyNumberFormat="1" applyFont="1" applyFill="1" applyBorder="1" applyAlignment="1">
      <alignment horizontal="left" vertical="center"/>
    </xf>
    <xf numFmtId="2" fontId="4" fillId="0" borderId="0" xfId="0" applyNumberFormat="1" applyFont="1" applyFill="1" applyBorder="1" applyAlignment="1">
      <alignment horizontal="left" vertical="center"/>
    </xf>
    <xf numFmtId="2" fontId="4" fillId="0" borderId="0" xfId="0" applyNumberFormat="1" applyFont="1" applyFill="1" applyBorder="1" applyAlignment="1">
      <alignment horizontal="left" vertical="center"/>
    </xf>
    <xf numFmtId="2" fontId="3" fillId="0" borderId="0" xfId="0" applyNumberFormat="1" applyFont="1" applyFill="1" applyBorder="1" applyAlignment="1">
      <alignment horizontal="left"/>
    </xf>
    <xf numFmtId="1" fontId="3" fillId="0" borderId="0" xfId="0" applyNumberFormat="1" applyFont="1" applyFill="1" applyBorder="1" applyAlignment="1">
      <alignment horizontal="left" vertical="center"/>
    </xf>
    <xf numFmtId="2" fontId="4" fillId="0" borderId="0" xfId="0" applyNumberFormat="1" applyFont="1" applyFill="1" applyBorder="1" applyAlignment="1">
      <alignment horizontal="left" vertical="center"/>
    </xf>
    <xf numFmtId="165" fontId="4" fillId="0" borderId="0" xfId="0" applyNumberFormat="1" applyFont="1" applyFill="1" applyBorder="1" applyAlignment="1">
      <alignment horizontal="left" vertical="center"/>
    </xf>
    <xf numFmtId="2" fontId="3" fillId="0" borderId="0" xfId="0" applyNumberFormat="1" applyFont="1" applyFill="1" applyBorder="1" applyAlignment="1">
      <alignment horizontal="center" vertical="center"/>
    </xf>
    <xf numFmtId="2" fontId="4" fillId="0" borderId="0" xfId="0" applyNumberFormat="1" applyFont="1" applyFill="1" applyBorder="1" applyAlignment="1">
      <alignment horizontal="center" vertical="center"/>
    </xf>
    <xf numFmtId="2" fontId="3" fillId="0" borderId="0" xfId="0" applyNumberFormat="1" applyFont="1" applyFill="1" applyBorder="1" applyAlignment="1">
      <alignment horizontal="center"/>
    </xf>
    <xf numFmtId="164" fontId="4" fillId="0" borderId="0" xfId="0" applyNumberFormat="1" applyFont="1" applyFill="1" applyBorder="1" applyAlignment="1">
      <alignment horizontal="center"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Fill="1" applyBorder="1" applyAlignment="1">
      <alignment horizontal="center"/>
    </xf>
    <xf numFmtId="0" fontId="6" fillId="0" borderId="0" xfId="0" applyFont="1" applyFill="1" applyBorder="1" applyAlignment="1">
      <alignment horizontal="center" vertical="center"/>
    </xf>
    <xf numFmtId="2" fontId="0" fillId="0" borderId="0" xfId="0" applyNumberFormat="1" applyFont="1" applyAlignment="1"/>
    <xf numFmtId="0" fontId="3" fillId="0" borderId="0" xfId="0" applyFont="1" applyFill="1" applyBorder="1" applyAlignment="1">
      <alignment horizontal="center"/>
    </xf>
    <xf numFmtId="14" fontId="4" fillId="0" borderId="0" xfId="0" applyNumberFormat="1" applyFont="1" applyFill="1" applyBorder="1" applyAlignment="1">
      <alignment horizontal="center"/>
    </xf>
    <xf numFmtId="2" fontId="4" fillId="4" borderId="0" xfId="0" applyNumberFormat="1" applyFont="1" applyFill="1" applyBorder="1" applyAlignment="1">
      <alignment horizontal="center" vertical="center"/>
    </xf>
    <xf numFmtId="9" fontId="4" fillId="0" borderId="0" xfId="0" applyNumberFormat="1" applyFont="1" applyFill="1" applyBorder="1" applyAlignment="1">
      <alignment horizontal="center" vertical="center"/>
    </xf>
    <xf numFmtId="1" fontId="3" fillId="0" borderId="0" xfId="0" applyNumberFormat="1" applyFont="1" applyFill="1" applyBorder="1" applyAlignment="1">
      <alignment horizontal="center" vertical="center"/>
    </xf>
    <xf numFmtId="1" fontId="4" fillId="0" borderId="0" xfId="0" applyNumberFormat="1" applyFont="1" applyFill="1" applyBorder="1" applyAlignment="1">
      <alignment horizontal="center" vertical="center"/>
    </xf>
    <xf numFmtId="1" fontId="3" fillId="0" borderId="0" xfId="0" applyNumberFormat="1" applyFont="1" applyFill="1" applyBorder="1" applyAlignment="1">
      <alignment horizontal="center"/>
    </xf>
    <xf numFmtId="1" fontId="6" fillId="0" borderId="0" xfId="0" applyNumberFormat="1" applyFont="1" applyFill="1" applyBorder="1" applyAlignment="1">
      <alignment horizontal="center" vertical="center"/>
    </xf>
    <xf numFmtId="4" fontId="3" fillId="0" borderId="0" xfId="0" applyNumberFormat="1" applyFont="1" applyFill="1" applyBorder="1" applyAlignment="1">
      <alignment horizontal="center" vertical="center"/>
    </xf>
    <xf numFmtId="4" fontId="4" fillId="0" borderId="0" xfId="0" applyNumberFormat="1" applyFont="1" applyFill="1" applyBorder="1" applyAlignment="1">
      <alignment horizontal="center" vertical="center"/>
    </xf>
    <xf numFmtId="4" fontId="3" fillId="0" borderId="0" xfId="0" applyNumberFormat="1" applyFont="1" applyFill="1" applyBorder="1" applyAlignment="1">
      <alignment horizontal="center"/>
    </xf>
    <xf numFmtId="2" fontId="4" fillId="0" borderId="0" xfId="0" applyNumberFormat="1" applyFont="1" applyFill="1" applyBorder="1" applyAlignment="1">
      <alignment horizontal="center"/>
    </xf>
    <xf numFmtId="2" fontId="3" fillId="0" borderId="0" xfId="0" applyNumberFormat="1" applyFont="1" applyFill="1" applyAlignment="1">
      <alignment horizontal="center"/>
    </xf>
    <xf numFmtId="2" fontId="3" fillId="0" borderId="0" xfId="0" applyNumberFormat="1" applyFont="1" applyFill="1" applyAlignment="1">
      <alignment horizontal="center" vertical="center"/>
    </xf>
    <xf numFmtId="2" fontId="6" fillId="0" borderId="0" xfId="0" applyNumberFormat="1" applyFont="1" applyFill="1" applyBorder="1" applyAlignment="1">
      <alignment horizontal="center" vertical="center"/>
    </xf>
    <xf numFmtId="11" fontId="4" fillId="0" borderId="0" xfId="0" applyNumberFormat="1" applyFont="1" applyFill="1" applyBorder="1" applyAlignment="1">
      <alignment horizontal="center" vertical="center"/>
    </xf>
    <xf numFmtId="11" fontId="3" fillId="0" borderId="0" xfId="0" applyNumberFormat="1" applyFont="1" applyFill="1" applyBorder="1" applyAlignment="1">
      <alignment horizontal="center" vertical="center"/>
    </xf>
    <xf numFmtId="11" fontId="6" fillId="0" borderId="0" xfId="0" applyNumberFormat="1" applyFont="1" applyFill="1" applyBorder="1" applyAlignment="1">
      <alignment horizontal="center" vertical="center"/>
    </xf>
    <xf numFmtId="11" fontId="3" fillId="0" borderId="0" xfId="0" applyNumberFormat="1" applyFont="1" applyFill="1" applyBorder="1" applyAlignment="1">
      <alignment horizontal="center"/>
    </xf>
    <xf numFmtId="11" fontId="4" fillId="0" borderId="0" xfId="0" applyNumberFormat="1" applyFont="1" applyFill="1" applyBorder="1" applyAlignment="1">
      <alignment horizontal="center"/>
    </xf>
    <xf numFmtId="11" fontId="3" fillId="0" borderId="0" xfId="0" applyNumberFormat="1" applyFont="1" applyFill="1" applyAlignment="1">
      <alignment horizontal="center" vertical="center"/>
    </xf>
    <xf numFmtId="0" fontId="0" fillId="0" borderId="0" xfId="0" applyFill="1" applyAlignment="1">
      <alignment horizontal="left"/>
    </xf>
    <xf numFmtId="2" fontId="3" fillId="5" borderId="0" xfId="0" applyNumberFormat="1" applyFont="1" applyFill="1" applyBorder="1" applyAlignment="1">
      <alignment horizontal="center" vertical="center"/>
    </xf>
    <xf numFmtId="0" fontId="4" fillId="0" borderId="0" xfId="0" applyFont="1" applyAlignment="1">
      <alignment horizontal="left" vertical="center"/>
    </xf>
    <xf numFmtId="0" fontId="4" fillId="0" borderId="0" xfId="0" applyFont="1"/>
    <xf numFmtId="2" fontId="4" fillId="0" borderId="0" xfId="0" applyNumberFormat="1" applyFont="1" applyAlignment="1">
      <alignment horizontal="left" vertical="center"/>
    </xf>
    <xf numFmtId="0" fontId="4" fillId="2" borderId="0" xfId="0" applyFont="1" applyFill="1" applyAlignment="1">
      <alignment horizontal="left" vertical="center"/>
    </xf>
    <xf numFmtId="0" fontId="4" fillId="2" borderId="0" xfId="0" applyFont="1" applyFill="1"/>
    <xf numFmtId="1" fontId="4" fillId="0" borderId="0" xfId="0" applyNumberFormat="1" applyFont="1" applyFill="1" applyAlignment="1">
      <alignment horizontal="left" vertical="center"/>
    </xf>
    <xf numFmtId="2" fontId="4" fillId="0" borderId="0" xfId="0" applyNumberFormat="1" applyFont="1" applyFill="1" applyAlignment="1">
      <alignment horizontal="left" vertical="center"/>
    </xf>
    <xf numFmtId="0" fontId="11" fillId="0" borderId="0" xfId="0" applyFont="1"/>
    <xf numFmtId="2" fontId="0" fillId="0" borderId="0" xfId="0" applyNumberFormat="1"/>
    <xf numFmtId="0" fontId="3" fillId="0" borderId="0" xfId="0" applyFont="1"/>
    <xf numFmtId="2" fontId="3" fillId="0" borderId="0" xfId="0" applyNumberFormat="1" applyFont="1"/>
    <xf numFmtId="2" fontId="3" fillId="0" borderId="0" xfId="0" applyNumberFormat="1" applyFont="1" applyAlignment="1">
      <alignment horizontal="center"/>
    </xf>
    <xf numFmtId="0" fontId="0" fillId="3" borderId="0" xfId="0" applyFont="1" applyFill="1" applyAlignment="1"/>
    <xf numFmtId="165" fontId="0" fillId="0" borderId="0" xfId="0" applyNumberFormat="1" applyFont="1" applyAlignment="1"/>
    <xf numFmtId="1" fontId="0" fillId="0" borderId="0" xfId="0" applyNumberFormat="1" applyFont="1" applyAlignment="1"/>
    <xf numFmtId="164" fontId="3" fillId="0" borderId="0" xfId="0" applyNumberFormat="1" applyFont="1" applyFill="1" applyBorder="1" applyAlignment="1">
      <alignment horizontal="center"/>
    </xf>
    <xf numFmtId="2" fontId="10" fillId="0" borderId="0" xfId="0" applyNumberFormat="1" applyFont="1" applyFill="1" applyAlignment="1">
      <alignment horizontal="left"/>
    </xf>
    <xf numFmtId="0" fontId="10" fillId="0" borderId="0" xfId="0" applyFont="1" applyFill="1" applyAlignment="1">
      <alignment horizontal="left"/>
    </xf>
    <xf numFmtId="0" fontId="4" fillId="0" borderId="0" xfId="0" applyFont="1" applyFill="1" applyAlignment="1">
      <alignment horizontal="center" vertical="center"/>
    </xf>
    <xf numFmtId="0" fontId="12" fillId="0" borderId="0" xfId="0" applyFont="1" applyFill="1" applyBorder="1" applyAlignment="1">
      <alignment horizontal="center"/>
    </xf>
    <xf numFmtId="0" fontId="13" fillId="0" borderId="0" xfId="0" applyFont="1" applyFill="1" applyBorder="1" applyAlignment="1">
      <alignment horizontal="left" vertical="center"/>
    </xf>
    <xf numFmtId="0" fontId="13" fillId="0" borderId="0" xfId="0" applyFont="1" applyFill="1" applyBorder="1" applyAlignment="1">
      <alignment horizontal="center" vertical="center"/>
    </xf>
    <xf numFmtId="1" fontId="13" fillId="0" borderId="0" xfId="0" applyNumberFormat="1" applyFont="1" applyFill="1" applyBorder="1" applyAlignment="1">
      <alignment horizontal="center" vertical="center"/>
    </xf>
    <xf numFmtId="4" fontId="13" fillId="0" borderId="0" xfId="0" applyNumberFormat="1" applyFont="1" applyFill="1" applyBorder="1" applyAlignment="1">
      <alignment horizontal="center" vertical="center"/>
    </xf>
    <xf numFmtId="2" fontId="13" fillId="0" borderId="0" xfId="0" applyNumberFormat="1" applyFont="1" applyFill="1" applyBorder="1" applyAlignment="1">
      <alignment horizontal="center" vertical="center"/>
    </xf>
    <xf numFmtId="0" fontId="12" fillId="2" borderId="0" xfId="0" applyFont="1" applyFill="1" applyBorder="1" applyAlignment="1">
      <alignment horizontal="left" vertical="center"/>
    </xf>
    <xf numFmtId="2" fontId="13" fillId="5" borderId="0" xfId="0" applyNumberFormat="1" applyFont="1" applyFill="1" applyBorder="1" applyAlignment="1">
      <alignment horizontal="center" vertical="center"/>
    </xf>
    <xf numFmtId="11" fontId="13" fillId="0" borderId="0" xfId="0" applyNumberFormat="1" applyFont="1" applyFill="1" applyBorder="1" applyAlignment="1">
      <alignment horizontal="center" vertical="center"/>
    </xf>
    <xf numFmtId="2" fontId="13" fillId="0" borderId="0" xfId="0" applyNumberFormat="1" applyFont="1" applyFill="1" applyBorder="1" applyAlignment="1">
      <alignment horizontal="left" vertical="center"/>
    </xf>
    <xf numFmtId="2" fontId="13" fillId="0" borderId="0" xfId="0" applyNumberFormat="1" applyFont="1" applyFill="1" applyBorder="1" applyAlignment="1">
      <alignment vertical="center"/>
    </xf>
    <xf numFmtId="0" fontId="13" fillId="0" borderId="0" xfId="0" applyFont="1" applyFill="1" applyBorder="1" applyAlignment="1"/>
    <xf numFmtId="0" fontId="2" fillId="0" borderId="0" xfId="0" applyFont="1" applyAlignment="1"/>
    <xf numFmtId="164" fontId="3" fillId="0" borderId="0" xfId="0" applyNumberFormat="1" applyFont="1" applyAlignment="1">
      <alignment horizontal="center"/>
    </xf>
    <xf numFmtId="0" fontId="3" fillId="0" borderId="0" xfId="0" applyFont="1" applyAlignment="1">
      <alignment horizontal="left" vertical="center"/>
    </xf>
    <xf numFmtId="2" fontId="3" fillId="0" borderId="0" xfId="0" applyNumberFormat="1" applyFont="1" applyAlignment="1">
      <alignment horizontal="left" vertical="center"/>
    </xf>
    <xf numFmtId="14" fontId="4" fillId="0" borderId="0" xfId="0" applyNumberFormat="1" applyFont="1" applyFill="1" applyAlignment="1">
      <alignment horizontal="center"/>
    </xf>
    <xf numFmtId="0" fontId="3" fillId="0" borderId="0" xfId="0" applyFont="1" applyFill="1" applyAlignment="1">
      <alignment horizontal="left" vertical="center"/>
    </xf>
    <xf numFmtId="0" fontId="3" fillId="0" borderId="0" xfId="0" applyFont="1" applyFill="1" applyAlignment="1">
      <alignment horizontal="center" vertical="center"/>
    </xf>
    <xf numFmtId="1" fontId="3" fillId="0" borderId="0" xfId="0" applyNumberFormat="1" applyFont="1" applyFill="1" applyAlignment="1">
      <alignment horizontal="center" vertical="center"/>
    </xf>
    <xf numFmtId="1" fontId="4" fillId="0" borderId="0" xfId="0" applyNumberFormat="1" applyFont="1" applyFill="1" applyAlignment="1">
      <alignment horizontal="center" vertical="center"/>
    </xf>
    <xf numFmtId="4" fontId="4" fillId="0" borderId="0" xfId="0" applyNumberFormat="1" applyFont="1" applyFill="1" applyAlignment="1">
      <alignment horizontal="center" vertical="center"/>
    </xf>
    <xf numFmtId="2" fontId="4" fillId="0" borderId="0" xfId="0" applyNumberFormat="1" applyFont="1" applyFill="1" applyAlignment="1">
      <alignment horizontal="center" vertical="center"/>
    </xf>
    <xf numFmtId="0" fontId="4" fillId="0" borderId="0" xfId="0" applyFont="1" applyFill="1" applyAlignment="1">
      <alignment horizontal="left" vertical="center"/>
    </xf>
    <xf numFmtId="0" fontId="3" fillId="0" borderId="0" xfId="0" applyFont="1" applyFill="1" applyAlignment="1">
      <alignment horizontal="center"/>
    </xf>
    <xf numFmtId="0" fontId="4" fillId="0" borderId="0" xfId="0" applyFont="1" applyFill="1" applyAlignment="1">
      <alignment horizontal="center"/>
    </xf>
    <xf numFmtId="2" fontId="4" fillId="0" borderId="0" xfId="0" applyNumberFormat="1" applyFont="1" applyFill="1" applyAlignment="1">
      <alignment horizontal="center"/>
    </xf>
    <xf numFmtId="11" fontId="4" fillId="0" borderId="0" xfId="0" applyNumberFormat="1" applyFont="1" applyFill="1" applyAlignment="1">
      <alignment horizontal="center" vertical="center"/>
    </xf>
    <xf numFmtId="11" fontId="4" fillId="0" borderId="0" xfId="0" applyNumberFormat="1" applyFont="1" applyFill="1" applyAlignment="1">
      <alignment horizontal="center"/>
    </xf>
    <xf numFmtId="1" fontId="3" fillId="0" borderId="0" xfId="0" applyNumberFormat="1" applyFont="1" applyFill="1" applyAlignment="1">
      <alignment horizontal="left" vertical="center"/>
    </xf>
    <xf numFmtId="2" fontId="3" fillId="0" borderId="0" xfId="0" applyNumberFormat="1" applyFont="1" applyFill="1" applyAlignment="1">
      <alignment horizontal="left" vertical="center"/>
    </xf>
    <xf numFmtId="0" fontId="0" fillId="0" borderId="0" xfId="0" applyFill="1"/>
  </cellXfs>
  <cellStyles count="3">
    <cellStyle name="Normal" xfId="0" builtinId="0"/>
    <cellStyle name="Normal 2" xfId="1"/>
    <cellStyle name="Normal 3" xfId="2"/>
  </cellStyles>
  <dxfs count="598">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1.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2.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3.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7.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8.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9.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Ex1.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Ex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Ex3.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Ex5.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WM</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rgbClr val="0070C0"/>
              </a:solidFill>
              <a:ln w="9525">
                <a:solidFill>
                  <a:srgbClr val="0070C0"/>
                </a:solidFill>
              </a:ln>
              <a:effectLst/>
            </c:spPr>
          </c:marker>
          <c:trendline>
            <c:spPr>
              <a:ln w="19050" cap="rnd">
                <a:solidFill>
                  <a:schemeClr val="accent1"/>
                </a:solidFill>
                <a:prstDash val="sysDot"/>
              </a:ln>
              <a:effectLst/>
            </c:spPr>
            <c:trendlineType val="log"/>
            <c:dispRSqr val="1"/>
            <c:dispEq val="1"/>
            <c:trendlineLbl>
              <c:layout>
                <c:manualLayout>
                  <c:x val="0.21453740157480314"/>
                  <c:y val="0.47252333041703126"/>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'WM graph'!$C$2:$C$27</c:f>
              <c:numCache>
                <c:formatCode>General</c:formatCode>
                <c:ptCount val="26"/>
                <c:pt idx="1">
                  <c:v>0.4</c:v>
                </c:pt>
                <c:pt idx="3">
                  <c:v>9.8333333333333342E-2</c:v>
                </c:pt>
                <c:pt idx="5">
                  <c:v>9.8333333333333342E-2</c:v>
                </c:pt>
                <c:pt idx="7">
                  <c:v>9.8333333333333342E-2</c:v>
                </c:pt>
                <c:pt idx="9">
                  <c:v>0.1</c:v>
                </c:pt>
                <c:pt idx="11">
                  <c:v>0.1</c:v>
                </c:pt>
                <c:pt idx="13">
                  <c:v>0.1</c:v>
                </c:pt>
                <c:pt idx="15">
                  <c:v>0.1</c:v>
                </c:pt>
              </c:numCache>
            </c:numRef>
          </c:xVal>
          <c:yVal>
            <c:numRef>
              <c:f>'WM graph'!$D$2:$D$27</c:f>
              <c:numCache>
                <c:formatCode>0.00</c:formatCode>
                <c:ptCount val="26"/>
                <c:pt idx="1">
                  <c:v>-4.1840702811851621E-2</c:v>
                </c:pt>
                <c:pt idx="3">
                  <c:v>-0.11092243663828597</c:v>
                </c:pt>
                <c:pt idx="5">
                  <c:v>-0.41909110484810935</c:v>
                </c:pt>
                <c:pt idx="7">
                  <c:v>-0.29603830479199178</c:v>
                </c:pt>
                <c:pt idx="9">
                  <c:v>-0.15592760187876892</c:v>
                </c:pt>
                <c:pt idx="11">
                  <c:v>-0.25298134529679334</c:v>
                </c:pt>
                <c:pt idx="13">
                  <c:v>-7.3252894346361244E-3</c:v>
                </c:pt>
                <c:pt idx="15">
                  <c:v>-0.48149912713617249</c:v>
                </c:pt>
              </c:numCache>
            </c:numRef>
          </c:yVal>
          <c:smooth val="0"/>
          <c:extLst>
            <c:ext xmlns:c16="http://schemas.microsoft.com/office/drawing/2014/chart" uri="{C3380CC4-5D6E-409C-BE32-E72D297353CC}">
              <c16:uniqueId val="{00000000-6F62-45D3-85CE-DAF707EEC3DD}"/>
            </c:ext>
          </c:extLst>
        </c:ser>
        <c:dLbls>
          <c:showLegendKey val="0"/>
          <c:showVal val="0"/>
          <c:showCatName val="0"/>
          <c:showSerName val="0"/>
          <c:showPercent val="0"/>
          <c:showBubbleSize val="0"/>
        </c:dLbls>
        <c:axId val="1710000639"/>
        <c:axId val="1804425839"/>
      </c:scatterChart>
      <c:valAx>
        <c:axId val="1710000639"/>
        <c:scaling>
          <c:logBase val="10"/>
          <c:orientation val="minMax"/>
          <c:min val="0.1"/>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Delay (in log minutes)</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804425839"/>
        <c:crosses val="autoZero"/>
        <c:crossBetween val="midCat"/>
      </c:valAx>
      <c:valAx>
        <c:axId val="1804425839"/>
        <c:scaling>
          <c:orientation val="minMax"/>
          <c:max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Memory</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710000639"/>
        <c:crossesAt val="0.1"/>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solidFill>
                  <a:schemeClr val="tx1"/>
                </a:solidFill>
              </a:rPr>
              <a:t>LLM</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rgbClr val="0070C0"/>
              </a:solidFill>
              <a:ln w="9525">
                <a:solidFill>
                  <a:srgbClr val="0070C0"/>
                </a:solidFill>
              </a:ln>
              <a:effectLst/>
            </c:spPr>
          </c:marker>
          <c:trendline>
            <c:spPr>
              <a:ln w="19050" cap="rnd">
                <a:solidFill>
                  <a:srgbClr val="FFC000"/>
                </a:solidFill>
                <a:prstDash val="solid"/>
              </a:ln>
              <a:effectLst/>
            </c:spPr>
            <c:trendlineType val="log"/>
            <c:dispRSqr val="0"/>
            <c:dispEq val="1"/>
            <c:trendlineLbl>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'LLM Multiple graph'!$C$3:$C$21</c:f>
              <c:numCache>
                <c:formatCode>0.00</c:formatCode>
                <c:ptCount val="19"/>
                <c:pt idx="0">
                  <c:v>0.23013698630136986</c:v>
                </c:pt>
                <c:pt idx="2">
                  <c:v>2.7701674277016742E-2</c:v>
                </c:pt>
                <c:pt idx="4">
                  <c:v>0.11506849315068493</c:v>
                </c:pt>
                <c:pt idx="6">
                  <c:v>0.11506849315068493</c:v>
                </c:pt>
                <c:pt idx="8">
                  <c:v>3.8356164383561646E-2</c:v>
                </c:pt>
                <c:pt idx="10">
                  <c:v>6.8493150684931503E-2</c:v>
                </c:pt>
                <c:pt idx="12">
                  <c:v>6.8493150684931503E-2</c:v>
                </c:pt>
                <c:pt idx="14">
                  <c:v>3.8356164383561646E-2</c:v>
                </c:pt>
                <c:pt idx="16">
                  <c:v>2.1095890410958904</c:v>
                </c:pt>
                <c:pt idx="18">
                  <c:v>2.1095890410958904</c:v>
                </c:pt>
              </c:numCache>
            </c:numRef>
          </c:xVal>
          <c:yVal>
            <c:numRef>
              <c:f>'LLM Multiple graph'!$D$3:$D$21</c:f>
              <c:numCache>
                <c:formatCode>General</c:formatCode>
                <c:ptCount val="19"/>
                <c:pt idx="0" formatCode="0.00">
                  <c:v>-0.15069728030683968</c:v>
                </c:pt>
                <c:pt idx="2" formatCode="0.00">
                  <c:v>-7.0295685363808869E-2</c:v>
                </c:pt>
                <c:pt idx="4" formatCode="0.00">
                  <c:v>-1.1639941262594255E-2</c:v>
                </c:pt>
                <c:pt idx="6" formatCode="0.00">
                  <c:v>-4.8192523586078895E-2</c:v>
                </c:pt>
                <c:pt idx="8" formatCode="0.00">
                  <c:v>-2.0707266774658013E-2</c:v>
                </c:pt>
                <c:pt idx="10" formatCode="0.00">
                  <c:v>-8.5151640058379441E-2</c:v>
                </c:pt>
                <c:pt idx="12" formatCode="0.00">
                  <c:v>-6.2977119613244162E-2</c:v>
                </c:pt>
                <c:pt idx="14" formatCode="0.00">
                  <c:v>-5.1203070795816458E-2</c:v>
                </c:pt>
                <c:pt idx="16" formatCode="0.00">
                  <c:v>-0.33027216480459509</c:v>
                </c:pt>
                <c:pt idx="18" formatCode="0.00">
                  <c:v>-0.22657487568664167</c:v>
                </c:pt>
              </c:numCache>
            </c:numRef>
          </c:yVal>
          <c:smooth val="0"/>
          <c:extLst>
            <c:ext xmlns:c16="http://schemas.microsoft.com/office/drawing/2014/chart" uri="{C3380CC4-5D6E-409C-BE32-E72D297353CC}">
              <c16:uniqueId val="{00000000-632A-403A-B375-55A9855585BC}"/>
            </c:ext>
          </c:extLst>
        </c:ser>
        <c:dLbls>
          <c:showLegendKey val="0"/>
          <c:showVal val="0"/>
          <c:showCatName val="0"/>
          <c:showSerName val="0"/>
          <c:showPercent val="0"/>
          <c:showBubbleSize val="0"/>
        </c:dLbls>
        <c:axId val="1710000639"/>
        <c:axId val="1804425839"/>
      </c:scatterChart>
      <c:valAx>
        <c:axId val="1710000639"/>
        <c:scaling>
          <c:logBase val="10"/>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Delay (in days)</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804425839"/>
        <c:crossesAt val="-1"/>
        <c:crossBetween val="midCat"/>
      </c:valAx>
      <c:valAx>
        <c:axId val="1804425839"/>
        <c:scaling>
          <c:orientation val="minMax"/>
          <c:max val="0"/>
          <c:min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Exponent</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710000639"/>
        <c:crossesAt val="1.0000000000000002E-2"/>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Bars!$B$1</c:f>
              <c:strCache>
                <c:ptCount val="1"/>
                <c:pt idx="0">
                  <c:v>Mean</c:v>
                </c:pt>
              </c:strCache>
            </c:strRef>
          </c:tx>
          <c:spPr>
            <a:solidFill>
              <a:srgbClr val="0070C0"/>
            </a:solidFill>
            <a:ln>
              <a:noFill/>
            </a:ln>
            <a:effectLst/>
          </c:spPr>
          <c:invertIfNegative val="0"/>
          <c:errBars>
            <c:errBarType val="both"/>
            <c:errValType val="cust"/>
            <c:noEndCap val="0"/>
            <c:plus>
              <c:numRef>
                <c:f>Bars!$C$2:$C$5</c:f>
                <c:numCache>
                  <c:formatCode>General</c:formatCode>
                  <c:ptCount val="4"/>
                  <c:pt idx="0">
                    <c:v>6.0924302096435345E-2</c:v>
                  </c:pt>
                  <c:pt idx="1">
                    <c:v>0.1044947408947848</c:v>
                  </c:pt>
                  <c:pt idx="2">
                    <c:v>1.4326473576203667E-2</c:v>
                  </c:pt>
                  <c:pt idx="3">
                    <c:v>1.879932534848576E-2</c:v>
                  </c:pt>
                </c:numCache>
              </c:numRef>
            </c:plus>
            <c:minus>
              <c:numRef>
                <c:f>Bars!$C$2:$C$5</c:f>
                <c:numCache>
                  <c:formatCode>General</c:formatCode>
                  <c:ptCount val="4"/>
                  <c:pt idx="0">
                    <c:v>6.0924302096435345E-2</c:v>
                  </c:pt>
                  <c:pt idx="1">
                    <c:v>0.1044947408947848</c:v>
                  </c:pt>
                  <c:pt idx="2">
                    <c:v>1.4326473576203667E-2</c:v>
                  </c:pt>
                  <c:pt idx="3">
                    <c:v>1.879932534848576E-2</c:v>
                  </c:pt>
                </c:numCache>
              </c:numRef>
            </c:minus>
            <c:spPr>
              <a:noFill/>
              <a:ln w="9525" cap="flat" cmpd="sng" algn="ctr">
                <a:solidFill>
                  <a:schemeClr val="tx1">
                    <a:lumMod val="65000"/>
                    <a:lumOff val="35000"/>
                  </a:schemeClr>
                </a:solidFill>
                <a:round/>
              </a:ln>
              <a:effectLst/>
            </c:spPr>
          </c:errBars>
          <c:cat>
            <c:strRef>
              <c:f>Bars!$A$2:$A$5</c:f>
              <c:strCache>
                <c:ptCount val="4"/>
                <c:pt idx="0">
                  <c:v>WM</c:v>
                </c:pt>
                <c:pt idx="1">
                  <c:v>e-LTM</c:v>
                </c:pt>
                <c:pt idx="2">
                  <c:v>t-LTM</c:v>
                </c:pt>
                <c:pt idx="3">
                  <c:v>LLM</c:v>
                </c:pt>
              </c:strCache>
            </c:strRef>
          </c:cat>
          <c:val>
            <c:numRef>
              <c:f>Bars!$B$2:$B$5</c:f>
              <c:numCache>
                <c:formatCode>0.00</c:formatCode>
                <c:ptCount val="4"/>
                <c:pt idx="0">
                  <c:v>-0.22070323910457618</c:v>
                </c:pt>
                <c:pt idx="1">
                  <c:v>-0.21510108093765359</c:v>
                </c:pt>
                <c:pt idx="2">
                  <c:v>-0.12917461484833476</c:v>
                </c:pt>
                <c:pt idx="3">
                  <c:v>-0.13179603198055378</c:v>
                </c:pt>
              </c:numCache>
            </c:numRef>
          </c:val>
          <c:extLst>
            <c:ext xmlns:c16="http://schemas.microsoft.com/office/drawing/2014/chart" uri="{C3380CC4-5D6E-409C-BE32-E72D297353CC}">
              <c16:uniqueId val="{00000000-FA78-4A99-9CCE-35592380EA53}"/>
            </c:ext>
          </c:extLst>
        </c:ser>
        <c:dLbls>
          <c:showLegendKey val="0"/>
          <c:showVal val="0"/>
          <c:showCatName val="0"/>
          <c:showSerName val="0"/>
          <c:showPercent val="0"/>
          <c:showBubbleSize val="0"/>
        </c:dLbls>
        <c:gapWidth val="100"/>
        <c:overlap val="-27"/>
        <c:axId val="277428783"/>
        <c:axId val="68418287"/>
      </c:barChart>
      <c:catAx>
        <c:axId val="27742878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Phase</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68418287"/>
        <c:crossesAt val="0"/>
        <c:auto val="1"/>
        <c:lblAlgn val="ctr"/>
        <c:lblOffset val="100"/>
        <c:noMultiLvlLbl val="0"/>
      </c:catAx>
      <c:valAx>
        <c:axId val="68418287"/>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Exponent</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in"/>
        <c:minorTickMark val="none"/>
        <c:tickLblPos val="low"/>
        <c:spPr>
          <a:noFill/>
          <a:ln>
            <a:solidFill>
              <a:schemeClr val="tx1"/>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27742878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solidFill>
                  <a:schemeClr val="tx1"/>
                </a:solidFill>
              </a:rPr>
              <a:t>Single Exposure</a:t>
            </a:r>
            <a:r>
              <a:rPr lang="en-US" sz="1200" baseline="0">
                <a:solidFill>
                  <a:schemeClr val="tx1"/>
                </a:solidFill>
              </a:rPr>
              <a:t> Studies</a:t>
            </a:r>
            <a:endParaRPr lang="en-US" sz="1200">
              <a:solidFill>
                <a:schemeClr val="tx1"/>
              </a:solidFill>
            </a:endParaRP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'Bars Single'!$B$1</c:f>
              <c:strCache>
                <c:ptCount val="1"/>
                <c:pt idx="0">
                  <c:v>Mean</c:v>
                </c:pt>
              </c:strCache>
            </c:strRef>
          </c:tx>
          <c:spPr>
            <a:solidFill>
              <a:srgbClr val="0070C0"/>
            </a:solidFill>
            <a:ln>
              <a:noFill/>
            </a:ln>
            <a:effectLst/>
          </c:spPr>
          <c:invertIfNegative val="0"/>
          <c:errBars>
            <c:errBarType val="both"/>
            <c:errValType val="cust"/>
            <c:noEndCap val="0"/>
            <c:plus>
              <c:numRef>
                <c:f>'Bars Single'!$C$2:$C$5</c:f>
                <c:numCache>
                  <c:formatCode>General</c:formatCode>
                  <c:ptCount val="4"/>
                  <c:pt idx="0">
                    <c:v>6.0924302096435345E-2</c:v>
                  </c:pt>
                  <c:pt idx="1">
                    <c:v>2.8331386909488616E-2</c:v>
                  </c:pt>
                  <c:pt idx="2">
                    <c:v>1.4326473576203667E-2</c:v>
                  </c:pt>
                  <c:pt idx="3">
                    <c:v>2.0951490643730065E-2</c:v>
                  </c:pt>
                </c:numCache>
              </c:numRef>
            </c:plus>
            <c:minus>
              <c:numRef>
                <c:f>'Bars Single'!$C$2:$C$5</c:f>
                <c:numCache>
                  <c:formatCode>General</c:formatCode>
                  <c:ptCount val="4"/>
                  <c:pt idx="0">
                    <c:v>6.0924302096435345E-2</c:v>
                  </c:pt>
                  <c:pt idx="1">
                    <c:v>2.8331386909488616E-2</c:v>
                  </c:pt>
                  <c:pt idx="2">
                    <c:v>1.4326473576203667E-2</c:v>
                  </c:pt>
                  <c:pt idx="3">
                    <c:v>2.0951490643730065E-2</c:v>
                  </c:pt>
                </c:numCache>
              </c:numRef>
            </c:minus>
            <c:spPr>
              <a:noFill/>
              <a:ln w="9525" cap="flat" cmpd="sng" algn="ctr">
                <a:solidFill>
                  <a:schemeClr val="tx1">
                    <a:lumMod val="65000"/>
                    <a:lumOff val="35000"/>
                  </a:schemeClr>
                </a:solidFill>
                <a:round/>
              </a:ln>
              <a:effectLst/>
            </c:spPr>
          </c:errBars>
          <c:cat>
            <c:strRef>
              <c:f>'Bars Single'!$A$2:$A$5</c:f>
              <c:strCache>
                <c:ptCount val="4"/>
                <c:pt idx="0">
                  <c:v>WM</c:v>
                </c:pt>
                <c:pt idx="1">
                  <c:v>e-LTM</c:v>
                </c:pt>
                <c:pt idx="2">
                  <c:v>t-LTM</c:v>
                </c:pt>
                <c:pt idx="3">
                  <c:v>LLM</c:v>
                </c:pt>
              </c:strCache>
            </c:strRef>
          </c:cat>
          <c:val>
            <c:numRef>
              <c:f>'Bars Single'!$B$2:$B$5</c:f>
              <c:numCache>
                <c:formatCode>0.00</c:formatCode>
                <c:ptCount val="4"/>
                <c:pt idx="0">
                  <c:v>-0.22070323910457618</c:v>
                </c:pt>
                <c:pt idx="1">
                  <c:v>-0.16449643070897965</c:v>
                </c:pt>
                <c:pt idx="2">
                  <c:v>-0.12917461484833476</c:v>
                </c:pt>
                <c:pt idx="3">
                  <c:v>-0.15348342794329381</c:v>
                </c:pt>
              </c:numCache>
            </c:numRef>
          </c:val>
          <c:extLst>
            <c:ext xmlns:c16="http://schemas.microsoft.com/office/drawing/2014/chart" uri="{C3380CC4-5D6E-409C-BE32-E72D297353CC}">
              <c16:uniqueId val="{00000000-AF60-4E66-8930-9336FEF46DFF}"/>
            </c:ext>
          </c:extLst>
        </c:ser>
        <c:dLbls>
          <c:showLegendKey val="0"/>
          <c:showVal val="0"/>
          <c:showCatName val="0"/>
          <c:showSerName val="0"/>
          <c:showPercent val="0"/>
          <c:showBubbleSize val="0"/>
        </c:dLbls>
        <c:gapWidth val="100"/>
        <c:overlap val="-27"/>
        <c:axId val="2061639071"/>
        <c:axId val="67302335"/>
      </c:barChart>
      <c:catAx>
        <c:axId val="2061639071"/>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Phase</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67302335"/>
        <c:crosses val="autoZero"/>
        <c:auto val="1"/>
        <c:lblAlgn val="ctr"/>
        <c:lblOffset val="100"/>
        <c:noMultiLvlLbl val="0"/>
      </c:catAx>
      <c:valAx>
        <c:axId val="67302335"/>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Exponent</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206163907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solidFill>
                  <a:schemeClr val="tx1"/>
                </a:solidFill>
              </a:rPr>
              <a:t>Multiple</a:t>
            </a:r>
            <a:r>
              <a:rPr lang="en-US" sz="1200" baseline="0">
                <a:solidFill>
                  <a:schemeClr val="tx1"/>
                </a:solidFill>
              </a:rPr>
              <a:t> Exposure Studies</a:t>
            </a:r>
            <a:endParaRPr lang="en-US" sz="1200">
              <a:solidFill>
                <a:schemeClr val="tx1"/>
              </a:solidFill>
            </a:endParaRP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'Bars Multiple'!$B$1</c:f>
              <c:strCache>
                <c:ptCount val="1"/>
                <c:pt idx="0">
                  <c:v>Mean</c:v>
                </c:pt>
              </c:strCache>
            </c:strRef>
          </c:tx>
          <c:spPr>
            <a:solidFill>
              <a:srgbClr val="0070C0"/>
            </a:solidFill>
            <a:ln>
              <a:noFill/>
            </a:ln>
            <a:effectLst/>
          </c:spPr>
          <c:invertIfNegative val="0"/>
          <c:errBars>
            <c:errBarType val="both"/>
            <c:errValType val="cust"/>
            <c:noEndCap val="0"/>
            <c:plus>
              <c:numRef>
                <c:f>'Bars Multiple'!$C$2:$C$5</c:f>
                <c:numCache>
                  <c:formatCode>General</c:formatCode>
                  <c:ptCount val="4"/>
                  <c:pt idx="1">
                    <c:v>1.0266512781842263E-2</c:v>
                  </c:pt>
                  <c:pt idx="3">
                    <c:v>3.2131176788981322E-2</c:v>
                  </c:pt>
                </c:numCache>
              </c:numRef>
            </c:plus>
            <c:minus>
              <c:numRef>
                <c:f>'Bars Multiple'!$C$2:$C$5</c:f>
                <c:numCache>
                  <c:formatCode>General</c:formatCode>
                  <c:ptCount val="4"/>
                  <c:pt idx="1">
                    <c:v>1.0266512781842263E-2</c:v>
                  </c:pt>
                  <c:pt idx="3">
                    <c:v>3.2131176788981322E-2</c:v>
                  </c:pt>
                </c:numCache>
              </c:numRef>
            </c:minus>
            <c:spPr>
              <a:noFill/>
              <a:ln w="9525" cap="flat" cmpd="sng" algn="ctr">
                <a:solidFill>
                  <a:schemeClr val="tx1">
                    <a:lumMod val="65000"/>
                    <a:lumOff val="35000"/>
                  </a:schemeClr>
                </a:solidFill>
                <a:round/>
              </a:ln>
              <a:effectLst/>
            </c:spPr>
          </c:errBars>
          <c:cat>
            <c:strRef>
              <c:f>'Bars Multiple'!$A$2:$A$5</c:f>
              <c:strCache>
                <c:ptCount val="4"/>
                <c:pt idx="0">
                  <c:v>WM</c:v>
                </c:pt>
                <c:pt idx="1">
                  <c:v>e-LTM</c:v>
                </c:pt>
                <c:pt idx="2">
                  <c:v>t-LTM</c:v>
                </c:pt>
                <c:pt idx="3">
                  <c:v>LLM</c:v>
                </c:pt>
              </c:strCache>
            </c:strRef>
          </c:cat>
          <c:val>
            <c:numRef>
              <c:f>'Bars Multiple'!$B$2:$B$5</c:f>
              <c:numCache>
                <c:formatCode>0.00</c:formatCode>
                <c:ptCount val="4"/>
                <c:pt idx="1">
                  <c:v>-0.18850503503313765</c:v>
                </c:pt>
                <c:pt idx="3">
                  <c:v>-0.10577115682526565</c:v>
                </c:pt>
              </c:numCache>
            </c:numRef>
          </c:val>
          <c:extLst>
            <c:ext xmlns:c16="http://schemas.microsoft.com/office/drawing/2014/chart" uri="{C3380CC4-5D6E-409C-BE32-E72D297353CC}">
              <c16:uniqueId val="{00000000-9733-44DE-8427-96F53BFAFF6B}"/>
            </c:ext>
          </c:extLst>
        </c:ser>
        <c:dLbls>
          <c:showLegendKey val="0"/>
          <c:showVal val="0"/>
          <c:showCatName val="0"/>
          <c:showSerName val="0"/>
          <c:showPercent val="0"/>
          <c:showBubbleSize val="0"/>
        </c:dLbls>
        <c:gapWidth val="100"/>
        <c:overlap val="-27"/>
        <c:axId val="51758831"/>
        <c:axId val="2060537615"/>
      </c:barChart>
      <c:catAx>
        <c:axId val="51758831"/>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Phase</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2060537615"/>
        <c:crosses val="autoZero"/>
        <c:auto val="1"/>
        <c:lblAlgn val="ctr"/>
        <c:lblOffset val="100"/>
        <c:noMultiLvlLbl val="0"/>
      </c:catAx>
      <c:valAx>
        <c:axId val="2060537615"/>
        <c:scaling>
          <c:orientation val="minMax"/>
          <c:min val="-0.30000000000000004"/>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Exponent</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5175883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solidFill>
                  <a:schemeClr val="tx1"/>
                </a:solidFill>
              </a:rPr>
              <a:t>WM</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rgbClr val="0070C0"/>
              </a:solidFill>
              <a:ln w="9525">
                <a:solidFill>
                  <a:srgbClr val="0070C0"/>
                </a:solidFill>
              </a:ln>
              <a:effectLst/>
            </c:spPr>
          </c:marker>
          <c:trendline>
            <c:spPr>
              <a:ln w="19050" cap="rnd">
                <a:solidFill>
                  <a:srgbClr val="FFC000"/>
                </a:solidFill>
                <a:prstDash val="solid"/>
              </a:ln>
              <a:effectLst/>
            </c:spPr>
            <c:trendlineType val="log"/>
            <c:dispRSqr val="0"/>
            <c:dispEq val="0"/>
          </c:trendline>
          <c:xVal>
            <c:numRef>
              <c:f>'WM Single graph'!$C$3:$C$193</c:f>
              <c:numCache>
                <c:formatCode>General</c:formatCode>
                <c:ptCount val="191"/>
                <c:pt idx="0">
                  <c:v>0.4</c:v>
                </c:pt>
                <c:pt idx="2">
                  <c:v>9.8333333333333342E-2</c:v>
                </c:pt>
                <c:pt idx="4">
                  <c:v>9.8333333333333342E-2</c:v>
                </c:pt>
                <c:pt idx="6">
                  <c:v>9.8333333333333342E-2</c:v>
                </c:pt>
                <c:pt idx="8">
                  <c:v>0.1</c:v>
                </c:pt>
                <c:pt idx="10">
                  <c:v>0.1</c:v>
                </c:pt>
                <c:pt idx="12">
                  <c:v>0.1</c:v>
                </c:pt>
                <c:pt idx="14">
                  <c:v>0.1</c:v>
                </c:pt>
                <c:pt idx="16">
                  <c:v>0</c:v>
                </c:pt>
                <c:pt idx="18">
                  <c:v>0</c:v>
                </c:pt>
                <c:pt idx="20">
                  <c:v>0</c:v>
                </c:pt>
                <c:pt idx="22">
                  <c:v>0</c:v>
                </c:pt>
                <c:pt idx="24">
                  <c:v>0</c:v>
                </c:pt>
                <c:pt idx="26">
                  <c:v>0</c:v>
                </c:pt>
                <c:pt idx="28">
                  <c:v>0</c:v>
                </c:pt>
                <c:pt idx="30">
                  <c:v>0</c:v>
                </c:pt>
                <c:pt idx="32">
                  <c:v>0</c:v>
                </c:pt>
                <c:pt idx="34">
                  <c:v>0</c:v>
                </c:pt>
                <c:pt idx="36">
                  <c:v>0</c:v>
                </c:pt>
                <c:pt idx="38">
                  <c:v>0</c:v>
                </c:pt>
                <c:pt idx="40">
                  <c:v>0</c:v>
                </c:pt>
                <c:pt idx="42">
                  <c:v>0</c:v>
                </c:pt>
                <c:pt idx="44">
                  <c:v>0</c:v>
                </c:pt>
                <c:pt idx="46">
                  <c:v>0</c:v>
                </c:pt>
                <c:pt idx="48">
                  <c:v>0</c:v>
                </c:pt>
                <c:pt idx="50">
                  <c:v>0</c:v>
                </c:pt>
                <c:pt idx="52">
                  <c:v>0</c:v>
                </c:pt>
                <c:pt idx="54">
                  <c:v>0</c:v>
                </c:pt>
                <c:pt idx="56">
                  <c:v>0</c:v>
                </c:pt>
                <c:pt idx="58">
                  <c:v>0</c:v>
                </c:pt>
                <c:pt idx="60">
                  <c:v>0</c:v>
                </c:pt>
                <c:pt idx="62">
                  <c:v>0</c:v>
                </c:pt>
                <c:pt idx="64">
                  <c:v>0</c:v>
                </c:pt>
                <c:pt idx="66">
                  <c:v>0</c:v>
                </c:pt>
                <c:pt idx="68">
                  <c:v>0</c:v>
                </c:pt>
                <c:pt idx="70">
                  <c:v>0</c:v>
                </c:pt>
                <c:pt idx="72">
                  <c:v>0</c:v>
                </c:pt>
                <c:pt idx="74">
                  <c:v>0</c:v>
                </c:pt>
                <c:pt idx="76">
                  <c:v>0</c:v>
                </c:pt>
                <c:pt idx="78">
                  <c:v>0</c:v>
                </c:pt>
                <c:pt idx="80">
                  <c:v>0</c:v>
                </c:pt>
                <c:pt idx="82">
                  <c:v>0</c:v>
                </c:pt>
                <c:pt idx="84">
                  <c:v>0</c:v>
                </c:pt>
                <c:pt idx="86">
                  <c:v>0</c:v>
                </c:pt>
                <c:pt idx="88">
                  <c:v>0</c:v>
                </c:pt>
                <c:pt idx="90">
                  <c:v>0</c:v>
                </c:pt>
                <c:pt idx="92">
                  <c:v>0</c:v>
                </c:pt>
                <c:pt idx="94">
                  <c:v>0</c:v>
                </c:pt>
                <c:pt idx="96">
                  <c:v>0</c:v>
                </c:pt>
                <c:pt idx="98">
                  <c:v>0</c:v>
                </c:pt>
                <c:pt idx="100">
                  <c:v>0</c:v>
                </c:pt>
                <c:pt idx="102">
                  <c:v>0</c:v>
                </c:pt>
                <c:pt idx="104">
                  <c:v>0</c:v>
                </c:pt>
                <c:pt idx="106">
                  <c:v>0</c:v>
                </c:pt>
                <c:pt idx="108">
                  <c:v>0</c:v>
                </c:pt>
                <c:pt idx="110">
                  <c:v>0</c:v>
                </c:pt>
                <c:pt idx="112">
                  <c:v>0</c:v>
                </c:pt>
                <c:pt idx="114">
                  <c:v>0</c:v>
                </c:pt>
                <c:pt idx="116">
                  <c:v>0</c:v>
                </c:pt>
                <c:pt idx="118">
                  <c:v>0</c:v>
                </c:pt>
                <c:pt idx="120">
                  <c:v>0</c:v>
                </c:pt>
                <c:pt idx="122">
                  <c:v>0</c:v>
                </c:pt>
                <c:pt idx="124">
                  <c:v>0</c:v>
                </c:pt>
                <c:pt idx="126">
                  <c:v>0</c:v>
                </c:pt>
                <c:pt idx="128">
                  <c:v>0</c:v>
                </c:pt>
                <c:pt idx="130">
                  <c:v>0</c:v>
                </c:pt>
                <c:pt idx="132">
                  <c:v>0</c:v>
                </c:pt>
                <c:pt idx="134">
                  <c:v>0</c:v>
                </c:pt>
                <c:pt idx="136">
                  <c:v>0</c:v>
                </c:pt>
                <c:pt idx="138">
                  <c:v>0</c:v>
                </c:pt>
                <c:pt idx="140">
                  <c:v>0</c:v>
                </c:pt>
                <c:pt idx="142">
                  <c:v>0</c:v>
                </c:pt>
                <c:pt idx="144">
                  <c:v>0</c:v>
                </c:pt>
                <c:pt idx="146">
                  <c:v>0</c:v>
                </c:pt>
                <c:pt idx="148">
                  <c:v>0</c:v>
                </c:pt>
                <c:pt idx="150">
                  <c:v>0</c:v>
                </c:pt>
                <c:pt idx="152">
                  <c:v>0</c:v>
                </c:pt>
                <c:pt idx="154">
                  <c:v>0</c:v>
                </c:pt>
                <c:pt idx="156">
                  <c:v>0</c:v>
                </c:pt>
                <c:pt idx="158">
                  <c:v>0</c:v>
                </c:pt>
                <c:pt idx="160">
                  <c:v>0</c:v>
                </c:pt>
                <c:pt idx="162">
                  <c:v>0</c:v>
                </c:pt>
                <c:pt idx="164">
                  <c:v>0</c:v>
                </c:pt>
                <c:pt idx="166">
                  <c:v>0</c:v>
                </c:pt>
                <c:pt idx="168">
                  <c:v>0</c:v>
                </c:pt>
                <c:pt idx="170">
                  <c:v>0</c:v>
                </c:pt>
                <c:pt idx="172">
                  <c:v>0</c:v>
                </c:pt>
              </c:numCache>
            </c:numRef>
          </c:xVal>
          <c:yVal>
            <c:numRef>
              <c:f>'WM Single graph'!$D$3:$D$193</c:f>
              <c:numCache>
                <c:formatCode>General</c:formatCode>
                <c:ptCount val="191"/>
                <c:pt idx="0" formatCode="0.00">
                  <c:v>-4.1840702811851621E-2</c:v>
                </c:pt>
                <c:pt idx="2" formatCode="0.00">
                  <c:v>-0.11092243663828597</c:v>
                </c:pt>
                <c:pt idx="4" formatCode="0.00">
                  <c:v>-0.41909110484810935</c:v>
                </c:pt>
                <c:pt idx="6" formatCode="0.00">
                  <c:v>-0.29603830479199178</c:v>
                </c:pt>
                <c:pt idx="8" formatCode="0.00">
                  <c:v>-0.15592760187876892</c:v>
                </c:pt>
                <c:pt idx="10" formatCode="0.00">
                  <c:v>-0.25298134529679334</c:v>
                </c:pt>
                <c:pt idx="12" formatCode="0.00">
                  <c:v>-7.3252894346361244E-3</c:v>
                </c:pt>
                <c:pt idx="14" formatCode="0.00">
                  <c:v>-0.48149912713617249</c:v>
                </c:pt>
                <c:pt idx="16" formatCode="0.00">
                  <c:v>0</c:v>
                </c:pt>
                <c:pt idx="18" formatCode="0.00">
                  <c:v>0</c:v>
                </c:pt>
                <c:pt idx="20" formatCode="0.00">
                  <c:v>0</c:v>
                </c:pt>
                <c:pt idx="22" formatCode="0.00">
                  <c:v>0</c:v>
                </c:pt>
                <c:pt idx="24" formatCode="0.00">
                  <c:v>0</c:v>
                </c:pt>
                <c:pt idx="26" formatCode="0.00">
                  <c:v>0</c:v>
                </c:pt>
                <c:pt idx="28" formatCode="0.00">
                  <c:v>0</c:v>
                </c:pt>
                <c:pt idx="30" formatCode="0.00">
                  <c:v>0</c:v>
                </c:pt>
                <c:pt idx="32" formatCode="0.00">
                  <c:v>0</c:v>
                </c:pt>
                <c:pt idx="34" formatCode="0.00">
                  <c:v>0</c:v>
                </c:pt>
                <c:pt idx="36" formatCode="0.00">
                  <c:v>0</c:v>
                </c:pt>
                <c:pt idx="40" formatCode="0.00">
                  <c:v>0</c:v>
                </c:pt>
                <c:pt idx="42" formatCode="0.00">
                  <c:v>0</c:v>
                </c:pt>
                <c:pt idx="44" formatCode="0.00">
                  <c:v>0</c:v>
                </c:pt>
                <c:pt idx="46" formatCode="0.00">
                  <c:v>0</c:v>
                </c:pt>
                <c:pt idx="48" formatCode="0.00">
                  <c:v>0</c:v>
                </c:pt>
                <c:pt idx="50" formatCode="0.00">
                  <c:v>0</c:v>
                </c:pt>
                <c:pt idx="52" formatCode="0.00">
                  <c:v>0</c:v>
                </c:pt>
                <c:pt idx="54" formatCode="0.00">
                  <c:v>0</c:v>
                </c:pt>
                <c:pt idx="56" formatCode="0.00">
                  <c:v>0</c:v>
                </c:pt>
                <c:pt idx="58" formatCode="0.00">
                  <c:v>0</c:v>
                </c:pt>
                <c:pt idx="60" formatCode="0.00">
                  <c:v>0</c:v>
                </c:pt>
                <c:pt idx="62" formatCode="0.00">
                  <c:v>0</c:v>
                </c:pt>
                <c:pt idx="64" formatCode="0.00">
                  <c:v>0</c:v>
                </c:pt>
                <c:pt idx="66" formatCode="0.00">
                  <c:v>0</c:v>
                </c:pt>
                <c:pt idx="68" formatCode="0.00">
                  <c:v>0</c:v>
                </c:pt>
                <c:pt idx="70" formatCode="0.00">
                  <c:v>0</c:v>
                </c:pt>
                <c:pt idx="72" formatCode="0.00">
                  <c:v>0</c:v>
                </c:pt>
                <c:pt idx="74" formatCode="0.00">
                  <c:v>0</c:v>
                </c:pt>
                <c:pt idx="76" formatCode="0.00">
                  <c:v>0</c:v>
                </c:pt>
                <c:pt idx="78" formatCode="0.00">
                  <c:v>0</c:v>
                </c:pt>
                <c:pt idx="80" formatCode="0.00">
                  <c:v>0</c:v>
                </c:pt>
                <c:pt idx="82" formatCode="0.00">
                  <c:v>0</c:v>
                </c:pt>
                <c:pt idx="84" formatCode="0.00">
                  <c:v>0</c:v>
                </c:pt>
                <c:pt idx="86" formatCode="0.00">
                  <c:v>0</c:v>
                </c:pt>
                <c:pt idx="88" formatCode="0.00">
                  <c:v>0</c:v>
                </c:pt>
                <c:pt idx="90" formatCode="0.00">
                  <c:v>0</c:v>
                </c:pt>
                <c:pt idx="92" formatCode="0.00">
                  <c:v>0</c:v>
                </c:pt>
                <c:pt idx="94" formatCode="0.00">
                  <c:v>0</c:v>
                </c:pt>
                <c:pt idx="96" formatCode="0.00">
                  <c:v>0</c:v>
                </c:pt>
                <c:pt idx="98" formatCode="0.00">
                  <c:v>0</c:v>
                </c:pt>
                <c:pt idx="100" formatCode="0.00">
                  <c:v>0</c:v>
                </c:pt>
                <c:pt idx="102" formatCode="0.00">
                  <c:v>0</c:v>
                </c:pt>
                <c:pt idx="104" formatCode="0.00">
                  <c:v>0</c:v>
                </c:pt>
                <c:pt idx="106" formatCode="0.00">
                  <c:v>0</c:v>
                </c:pt>
                <c:pt idx="108" formatCode="0.00">
                  <c:v>0</c:v>
                </c:pt>
                <c:pt idx="110" formatCode="0.00">
                  <c:v>0</c:v>
                </c:pt>
                <c:pt idx="112" formatCode="0.00">
                  <c:v>0</c:v>
                </c:pt>
                <c:pt idx="114" formatCode="0.00">
                  <c:v>0</c:v>
                </c:pt>
                <c:pt idx="116" formatCode="0.00">
                  <c:v>0</c:v>
                </c:pt>
                <c:pt idx="118" formatCode="0.00">
                  <c:v>0</c:v>
                </c:pt>
                <c:pt idx="120" formatCode="0.00">
                  <c:v>0</c:v>
                </c:pt>
                <c:pt idx="122" formatCode="0.00">
                  <c:v>0</c:v>
                </c:pt>
                <c:pt idx="124" formatCode="0.00">
                  <c:v>0</c:v>
                </c:pt>
                <c:pt idx="126" formatCode="0.00">
                  <c:v>0</c:v>
                </c:pt>
                <c:pt idx="128" formatCode="0.00">
                  <c:v>0</c:v>
                </c:pt>
                <c:pt idx="130" formatCode="0.00">
                  <c:v>0</c:v>
                </c:pt>
                <c:pt idx="132" formatCode="0.00">
                  <c:v>0</c:v>
                </c:pt>
                <c:pt idx="134" formatCode="0.00">
                  <c:v>0</c:v>
                </c:pt>
                <c:pt idx="136" formatCode="0.00">
                  <c:v>0</c:v>
                </c:pt>
                <c:pt idx="138" formatCode="0.00">
                  <c:v>0</c:v>
                </c:pt>
                <c:pt idx="140" formatCode="0.00">
                  <c:v>0</c:v>
                </c:pt>
                <c:pt idx="144" formatCode="0.00">
                  <c:v>0</c:v>
                </c:pt>
                <c:pt idx="146" formatCode="0.00">
                  <c:v>0</c:v>
                </c:pt>
                <c:pt idx="148" formatCode="0.00">
                  <c:v>0</c:v>
                </c:pt>
                <c:pt idx="150" formatCode="0.00">
                  <c:v>0</c:v>
                </c:pt>
                <c:pt idx="152" formatCode="0.00">
                  <c:v>0</c:v>
                </c:pt>
                <c:pt idx="154" formatCode="0.00">
                  <c:v>0</c:v>
                </c:pt>
                <c:pt idx="156" formatCode="0.00">
                  <c:v>0</c:v>
                </c:pt>
                <c:pt idx="158" formatCode="0.00">
                  <c:v>0</c:v>
                </c:pt>
                <c:pt idx="160" formatCode="0.00">
                  <c:v>0</c:v>
                </c:pt>
                <c:pt idx="162" formatCode="0.00">
                  <c:v>0</c:v>
                </c:pt>
                <c:pt idx="164" formatCode="0.00">
                  <c:v>0</c:v>
                </c:pt>
                <c:pt idx="166" formatCode="0.00">
                  <c:v>0</c:v>
                </c:pt>
                <c:pt idx="168" formatCode="0.00">
                  <c:v>0</c:v>
                </c:pt>
                <c:pt idx="170" formatCode="0.00">
                  <c:v>0</c:v>
                </c:pt>
                <c:pt idx="172" formatCode="0.00">
                  <c:v>0</c:v>
                </c:pt>
              </c:numCache>
            </c:numRef>
          </c:yVal>
          <c:smooth val="0"/>
          <c:extLst>
            <c:ext xmlns:c16="http://schemas.microsoft.com/office/drawing/2014/chart" uri="{C3380CC4-5D6E-409C-BE32-E72D297353CC}">
              <c16:uniqueId val="{00000000-A455-48CA-8888-46C4BC92A655}"/>
            </c:ext>
          </c:extLst>
        </c:ser>
        <c:dLbls>
          <c:showLegendKey val="0"/>
          <c:showVal val="0"/>
          <c:showCatName val="0"/>
          <c:showSerName val="0"/>
          <c:showPercent val="0"/>
          <c:showBubbleSize val="0"/>
        </c:dLbls>
        <c:axId val="1710000639"/>
        <c:axId val="1804425839"/>
      </c:scatterChart>
      <c:valAx>
        <c:axId val="1710000639"/>
        <c:scaling>
          <c:logBase val="10"/>
          <c:orientation val="minMax"/>
          <c:min val="0.1"/>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Delay (in minutes)</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804425839"/>
        <c:crossesAt val="-1"/>
        <c:crossBetween val="midCat"/>
      </c:valAx>
      <c:valAx>
        <c:axId val="1804425839"/>
        <c:scaling>
          <c:orientation val="minMax"/>
          <c:max val="0"/>
          <c:min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Exponent</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710000639"/>
        <c:crossesAt val="0.1"/>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e-LTM</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rgbClr val="0070C0"/>
              </a:solidFill>
              <a:ln w="9525">
                <a:solidFill>
                  <a:srgbClr val="0070C0"/>
                </a:solidFill>
              </a:ln>
              <a:effectLst/>
            </c:spPr>
          </c:marker>
          <c:trendline>
            <c:spPr>
              <a:ln w="19050" cap="rnd">
                <a:solidFill>
                  <a:schemeClr val="accent1"/>
                </a:solidFill>
                <a:prstDash val="sysDot"/>
              </a:ln>
              <a:effectLst/>
            </c:spPr>
            <c:trendlineType val="log"/>
            <c:dispRSqr val="0"/>
            <c:dispEq val="0"/>
          </c:trendline>
          <c:xVal>
            <c:numRef>
              <c:f>'e-LTM graph'!$C$2:$C$97</c:f>
              <c:numCache>
                <c:formatCode>General</c:formatCode>
                <c:ptCount val="96"/>
                <c:pt idx="1">
                  <c:v>1.5</c:v>
                </c:pt>
                <c:pt idx="3">
                  <c:v>0.19500000000000001</c:v>
                </c:pt>
                <c:pt idx="5">
                  <c:v>0.19500000000000001</c:v>
                </c:pt>
                <c:pt idx="7">
                  <c:v>0.38833333333333331</c:v>
                </c:pt>
                <c:pt idx="9">
                  <c:v>0.38833333333333331</c:v>
                </c:pt>
                <c:pt idx="11">
                  <c:v>0.38833333333333331</c:v>
                </c:pt>
                <c:pt idx="13">
                  <c:v>0.38833333333333331</c:v>
                </c:pt>
                <c:pt idx="15">
                  <c:v>1</c:v>
                </c:pt>
                <c:pt idx="17">
                  <c:v>1</c:v>
                </c:pt>
                <c:pt idx="19">
                  <c:v>1.0666666666666667</c:v>
                </c:pt>
                <c:pt idx="21">
                  <c:v>1.3333333333333333</c:v>
                </c:pt>
                <c:pt idx="23">
                  <c:v>7</c:v>
                </c:pt>
                <c:pt idx="25">
                  <c:v>7</c:v>
                </c:pt>
                <c:pt idx="27">
                  <c:v>7</c:v>
                </c:pt>
                <c:pt idx="29">
                  <c:v>0.19444444444444445</c:v>
                </c:pt>
              </c:numCache>
            </c:numRef>
          </c:xVal>
          <c:yVal>
            <c:numRef>
              <c:f>'e-LTM graph'!$D$2:$D$97</c:f>
              <c:numCache>
                <c:formatCode>0.00</c:formatCode>
                <c:ptCount val="96"/>
                <c:pt idx="1">
                  <c:v>-2.6423856011413897E-2</c:v>
                </c:pt>
                <c:pt idx="3">
                  <c:v>-0.231605695561754</c:v>
                </c:pt>
                <c:pt idx="5">
                  <c:v>-0.38727369123979294</c:v>
                </c:pt>
                <c:pt idx="7">
                  <c:v>-0.14009386451260886</c:v>
                </c:pt>
                <c:pt idx="9">
                  <c:v>-5.5660573317711515E-2</c:v>
                </c:pt>
                <c:pt idx="11">
                  <c:v>-0.13662508109794766</c:v>
                </c:pt>
                <c:pt idx="13">
                  <c:v>-0.17541803033396614</c:v>
                </c:pt>
                <c:pt idx="15">
                  <c:v>-0.20725283363153152</c:v>
                </c:pt>
                <c:pt idx="17">
                  <c:v>-0.20172665350125502</c:v>
                </c:pt>
                <c:pt idx="19">
                  <c:v>-0.16185490444053308</c:v>
                </c:pt>
                <c:pt idx="21">
                  <c:v>-0.18318574855923095</c:v>
                </c:pt>
                <c:pt idx="23">
                  <c:v>-0.13785230161429973</c:v>
                </c:pt>
                <c:pt idx="25">
                  <c:v>-0.17390240364693083</c:v>
                </c:pt>
                <c:pt idx="27">
                  <c:v>-0.19278369016112795</c:v>
                </c:pt>
                <c:pt idx="29">
                  <c:v>-0.15182155030122266</c:v>
                </c:pt>
              </c:numCache>
            </c:numRef>
          </c:yVal>
          <c:smooth val="0"/>
          <c:extLst>
            <c:ext xmlns:c16="http://schemas.microsoft.com/office/drawing/2014/chart" uri="{C3380CC4-5D6E-409C-BE32-E72D297353CC}">
              <c16:uniqueId val="{00000000-F3E5-4CB1-8914-E05AE7FC277C}"/>
            </c:ext>
          </c:extLst>
        </c:ser>
        <c:dLbls>
          <c:showLegendKey val="0"/>
          <c:showVal val="0"/>
          <c:showCatName val="0"/>
          <c:showSerName val="0"/>
          <c:showPercent val="0"/>
          <c:showBubbleSize val="0"/>
        </c:dLbls>
        <c:axId val="1710000639"/>
        <c:axId val="1804425839"/>
      </c:scatterChart>
      <c:valAx>
        <c:axId val="1710000639"/>
        <c:scaling>
          <c:logBase val="10"/>
          <c:orientation val="minMax"/>
          <c:min val="0.1"/>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Delay (in hours)</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804425839"/>
        <c:crosses val="autoZero"/>
        <c:crossBetween val="midCat"/>
      </c:valAx>
      <c:valAx>
        <c:axId val="1804425839"/>
        <c:scaling>
          <c:orientation val="minMax"/>
          <c:max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Memory</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710000639"/>
        <c:crossesAt val="0.1"/>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solidFill>
                  <a:schemeClr val="tx1"/>
                </a:solidFill>
              </a:rPr>
              <a:t>e-LTM</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rgbClr val="0070C0"/>
              </a:solidFill>
              <a:ln w="9525">
                <a:solidFill>
                  <a:srgbClr val="0070C0"/>
                </a:solidFill>
              </a:ln>
              <a:effectLst/>
            </c:spPr>
          </c:marker>
          <c:trendline>
            <c:spPr>
              <a:ln w="19050" cap="rnd">
                <a:solidFill>
                  <a:srgbClr val="FFC000"/>
                </a:solidFill>
                <a:prstDash val="solid"/>
              </a:ln>
              <a:effectLst/>
            </c:spPr>
            <c:trendlineType val="log"/>
            <c:dispRSqr val="0"/>
            <c:dispEq val="1"/>
            <c:trendlineLbl>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'e-LTM Single graph'!$C$3:$C$137</c:f>
              <c:numCache>
                <c:formatCode>General</c:formatCode>
                <c:ptCount val="135"/>
                <c:pt idx="0">
                  <c:v>1.5</c:v>
                </c:pt>
                <c:pt idx="2">
                  <c:v>0.19500000000000001</c:v>
                </c:pt>
                <c:pt idx="4">
                  <c:v>0.19500000000000001</c:v>
                </c:pt>
                <c:pt idx="6">
                  <c:v>0.38833333333333331</c:v>
                </c:pt>
                <c:pt idx="8">
                  <c:v>0.38833333333333331</c:v>
                </c:pt>
                <c:pt idx="10">
                  <c:v>0.38833333333333331</c:v>
                </c:pt>
                <c:pt idx="12">
                  <c:v>0.38833333333333331</c:v>
                </c:pt>
                <c:pt idx="14">
                  <c:v>7</c:v>
                </c:pt>
                <c:pt idx="16">
                  <c:v>7</c:v>
                </c:pt>
                <c:pt idx="18">
                  <c:v>7</c:v>
                </c:pt>
                <c:pt idx="20">
                  <c:v>0.19444444444444445</c:v>
                </c:pt>
              </c:numCache>
            </c:numRef>
          </c:xVal>
          <c:yVal>
            <c:numRef>
              <c:f>'e-LTM Single graph'!$D$3:$D$137</c:f>
              <c:numCache>
                <c:formatCode>General</c:formatCode>
                <c:ptCount val="135"/>
                <c:pt idx="0" formatCode="0.00">
                  <c:v>-2.6423856011413897E-2</c:v>
                </c:pt>
                <c:pt idx="2" formatCode="0.00">
                  <c:v>-0.231605695561754</c:v>
                </c:pt>
                <c:pt idx="4" formatCode="0.00">
                  <c:v>-0.38727369123979294</c:v>
                </c:pt>
                <c:pt idx="6" formatCode="0.00">
                  <c:v>-0.14009386451260886</c:v>
                </c:pt>
                <c:pt idx="8" formatCode="0.00">
                  <c:v>-5.5660573317711515E-2</c:v>
                </c:pt>
                <c:pt idx="10" formatCode="0.00">
                  <c:v>-0.13662508109794766</c:v>
                </c:pt>
                <c:pt idx="12" formatCode="0.00">
                  <c:v>-0.17541803033396614</c:v>
                </c:pt>
                <c:pt idx="14" formatCode="0.00">
                  <c:v>-0.13785230161429973</c:v>
                </c:pt>
                <c:pt idx="16" formatCode="0.00">
                  <c:v>-0.17390240364693083</c:v>
                </c:pt>
                <c:pt idx="18" formatCode="0.00">
                  <c:v>-0.19278369016112795</c:v>
                </c:pt>
                <c:pt idx="20" formatCode="0.00">
                  <c:v>-0.15182155030122266</c:v>
                </c:pt>
              </c:numCache>
            </c:numRef>
          </c:yVal>
          <c:smooth val="0"/>
          <c:extLst>
            <c:ext xmlns:c16="http://schemas.microsoft.com/office/drawing/2014/chart" uri="{C3380CC4-5D6E-409C-BE32-E72D297353CC}">
              <c16:uniqueId val="{00000000-9BCC-452E-969A-F9011D165DB5}"/>
            </c:ext>
          </c:extLst>
        </c:ser>
        <c:dLbls>
          <c:showLegendKey val="0"/>
          <c:showVal val="0"/>
          <c:showCatName val="0"/>
          <c:showSerName val="0"/>
          <c:showPercent val="0"/>
          <c:showBubbleSize val="0"/>
        </c:dLbls>
        <c:axId val="1710000639"/>
        <c:axId val="1804425839"/>
      </c:scatterChart>
      <c:valAx>
        <c:axId val="1710000639"/>
        <c:scaling>
          <c:logBase val="10"/>
          <c:orientation val="minMax"/>
          <c:min val="0.1"/>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sz="1200">
                    <a:solidFill>
                      <a:sysClr val="windowText" lastClr="000000"/>
                    </a:solidFill>
                  </a:rPr>
                  <a:t>Delay (in hours)</a:t>
                </a:r>
              </a:p>
            </c:rich>
          </c:tx>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804425839"/>
        <c:crossesAt val="-1"/>
        <c:crossBetween val="midCat"/>
      </c:valAx>
      <c:valAx>
        <c:axId val="1804425839"/>
        <c:scaling>
          <c:orientation val="minMax"/>
          <c:max val="0"/>
          <c:min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Exponent</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710000639"/>
        <c:crossesAt val="0.1"/>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solidFill>
                  <a:schemeClr val="tx1"/>
                </a:solidFill>
              </a:rPr>
              <a:t>e-LTM</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rgbClr val="0070C0"/>
              </a:solidFill>
              <a:ln w="9525">
                <a:solidFill>
                  <a:srgbClr val="0070C0"/>
                </a:solidFill>
              </a:ln>
              <a:effectLst/>
            </c:spPr>
          </c:marker>
          <c:trendline>
            <c:spPr>
              <a:ln w="19050" cap="rnd">
                <a:solidFill>
                  <a:srgbClr val="FFC000"/>
                </a:solidFill>
                <a:prstDash val="solid"/>
              </a:ln>
              <a:effectLst/>
            </c:spPr>
            <c:trendlineType val="log"/>
            <c:dispRSqr val="0"/>
            <c:dispEq val="1"/>
            <c:trendlineLbl>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'e-LTM Multiple graph'!$C$3:$C$175</c:f>
              <c:numCache>
                <c:formatCode>General</c:formatCode>
                <c:ptCount val="173"/>
                <c:pt idx="0">
                  <c:v>1</c:v>
                </c:pt>
                <c:pt idx="2">
                  <c:v>1</c:v>
                </c:pt>
                <c:pt idx="4">
                  <c:v>1.0666666666666667</c:v>
                </c:pt>
                <c:pt idx="6">
                  <c:v>1.3333333333333333</c:v>
                </c:pt>
              </c:numCache>
            </c:numRef>
          </c:xVal>
          <c:yVal>
            <c:numRef>
              <c:f>'e-LTM Multiple graph'!$D$3:$D$175</c:f>
              <c:numCache>
                <c:formatCode>General</c:formatCode>
                <c:ptCount val="173"/>
                <c:pt idx="0" formatCode="0.00">
                  <c:v>-0.20725283363153152</c:v>
                </c:pt>
                <c:pt idx="2" formatCode="0.00">
                  <c:v>-0.20172665350125502</c:v>
                </c:pt>
                <c:pt idx="4" formatCode="0.00">
                  <c:v>-0.16185490444053308</c:v>
                </c:pt>
                <c:pt idx="6" formatCode="0.00">
                  <c:v>-0.18318574855923095</c:v>
                </c:pt>
              </c:numCache>
            </c:numRef>
          </c:yVal>
          <c:smooth val="0"/>
          <c:extLst>
            <c:ext xmlns:c16="http://schemas.microsoft.com/office/drawing/2014/chart" uri="{C3380CC4-5D6E-409C-BE32-E72D297353CC}">
              <c16:uniqueId val="{00000000-CCA5-478F-B876-59D34E03D00B}"/>
            </c:ext>
          </c:extLst>
        </c:ser>
        <c:dLbls>
          <c:showLegendKey val="0"/>
          <c:showVal val="0"/>
          <c:showCatName val="0"/>
          <c:showSerName val="0"/>
          <c:showPercent val="0"/>
          <c:showBubbleSize val="0"/>
        </c:dLbls>
        <c:axId val="1710000639"/>
        <c:axId val="1804425839"/>
      </c:scatterChart>
      <c:valAx>
        <c:axId val="1710000639"/>
        <c:scaling>
          <c:logBase val="10"/>
          <c:orientation val="minMax"/>
          <c:min val="0.1"/>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Delay (in hours)</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804425839"/>
        <c:crossesAt val="-1"/>
        <c:crossBetween val="midCat"/>
      </c:valAx>
      <c:valAx>
        <c:axId val="1804425839"/>
        <c:scaling>
          <c:orientation val="minMax"/>
          <c:max val="0"/>
          <c:min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Exponent</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710000639"/>
        <c:crossesAt val="0.1"/>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t-LTM</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rgbClr val="0070C0"/>
              </a:solidFill>
              <a:ln w="9525">
                <a:solidFill>
                  <a:srgbClr val="0070C0"/>
                </a:solidFill>
              </a:ln>
              <a:effectLst/>
            </c:spPr>
          </c:marker>
          <c:trendline>
            <c:spPr>
              <a:ln w="19050" cap="rnd">
                <a:solidFill>
                  <a:schemeClr val="accent1"/>
                </a:solidFill>
                <a:prstDash val="sysDot"/>
              </a:ln>
              <a:effectLst/>
            </c:spPr>
            <c:trendlineType val="log"/>
            <c:dispRSqr val="0"/>
            <c:dispEq val="1"/>
            <c:trendlineLbl>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't-LTM graph'!$C$3:$C$45</c:f>
              <c:numCache>
                <c:formatCode>0</c:formatCode>
                <c:ptCount val="43"/>
                <c:pt idx="0">
                  <c:v>7</c:v>
                </c:pt>
                <c:pt idx="2">
                  <c:v>7</c:v>
                </c:pt>
                <c:pt idx="4">
                  <c:v>7</c:v>
                </c:pt>
                <c:pt idx="6">
                  <c:v>7</c:v>
                </c:pt>
                <c:pt idx="8">
                  <c:v>7</c:v>
                </c:pt>
                <c:pt idx="10">
                  <c:v>7</c:v>
                </c:pt>
                <c:pt idx="12">
                  <c:v>1</c:v>
                </c:pt>
                <c:pt idx="14">
                  <c:v>1.3333333333333333</c:v>
                </c:pt>
                <c:pt idx="16">
                  <c:v>2</c:v>
                </c:pt>
                <c:pt idx="18">
                  <c:v>2</c:v>
                </c:pt>
                <c:pt idx="20">
                  <c:v>1</c:v>
                </c:pt>
                <c:pt idx="22">
                  <c:v>1.2916666666666667</c:v>
                </c:pt>
                <c:pt idx="24">
                  <c:v>7</c:v>
                </c:pt>
                <c:pt idx="26">
                  <c:v>7</c:v>
                </c:pt>
                <c:pt idx="28">
                  <c:v>7</c:v>
                </c:pt>
                <c:pt idx="30">
                  <c:v>0.58333333333333337</c:v>
                </c:pt>
                <c:pt idx="32">
                  <c:v>0.58333333333333337</c:v>
                </c:pt>
                <c:pt idx="34">
                  <c:v>0.58333333333333337</c:v>
                </c:pt>
                <c:pt idx="36">
                  <c:v>2</c:v>
                </c:pt>
                <c:pt idx="38">
                  <c:v>2</c:v>
                </c:pt>
                <c:pt idx="40">
                  <c:v>2</c:v>
                </c:pt>
                <c:pt idx="42">
                  <c:v>2</c:v>
                </c:pt>
              </c:numCache>
            </c:numRef>
          </c:xVal>
          <c:yVal>
            <c:numRef>
              <c:f>'t-LTM graph'!$D$3:$D$45</c:f>
              <c:numCache>
                <c:formatCode>General</c:formatCode>
                <c:ptCount val="43"/>
                <c:pt idx="0" formatCode="0.00">
                  <c:v>-1.6564050588993136E-2</c:v>
                </c:pt>
                <c:pt idx="2" formatCode="0.00">
                  <c:v>-5.5457948701854352E-2</c:v>
                </c:pt>
                <c:pt idx="4" formatCode="0.00">
                  <c:v>-4.0070556100340063E-2</c:v>
                </c:pt>
                <c:pt idx="6" formatCode="0.00">
                  <c:v>-0.1863050867167925</c:v>
                </c:pt>
                <c:pt idx="8" formatCode="0.00">
                  <c:v>-0.12398739227197249</c:v>
                </c:pt>
                <c:pt idx="10" formatCode="0.00">
                  <c:v>-0.14703792681329769</c:v>
                </c:pt>
                <c:pt idx="12" formatCode="0.00">
                  <c:v>-0.11311780708734026</c:v>
                </c:pt>
                <c:pt idx="14" formatCode="0.00">
                  <c:v>-8.2979269088313309E-2</c:v>
                </c:pt>
                <c:pt idx="16" formatCode="0.00">
                  <c:v>-0.16047384338199436</c:v>
                </c:pt>
                <c:pt idx="18" formatCode="0.00">
                  <c:v>-0.19804254861197892</c:v>
                </c:pt>
                <c:pt idx="20" formatCode="0.00">
                  <c:v>-0.10376636196991192</c:v>
                </c:pt>
                <c:pt idx="22" formatCode="0.00">
                  <c:v>-0.17719780295865997</c:v>
                </c:pt>
                <c:pt idx="24" formatCode="0.00">
                  <c:v>-0.13684843067023847</c:v>
                </c:pt>
                <c:pt idx="26" formatCode="0.00">
                  <c:v>-0.13133275041199524</c:v>
                </c:pt>
                <c:pt idx="28" formatCode="0.00">
                  <c:v>-0.14364326742087472</c:v>
                </c:pt>
                <c:pt idx="30" formatCode="0.00">
                  <c:v>-0.21069510442248982</c:v>
                </c:pt>
                <c:pt idx="32" formatCode="0.00">
                  <c:v>-0.24023260219154294</c:v>
                </c:pt>
                <c:pt idx="34" formatCode="0.00">
                  <c:v>-0.25798424290738398</c:v>
                </c:pt>
                <c:pt idx="36" formatCode="0.00">
                  <c:v>-9.9558797664040813E-2</c:v>
                </c:pt>
                <c:pt idx="38" formatCode="0.00">
                  <c:v>-6.0025416092165336E-2</c:v>
                </c:pt>
                <c:pt idx="40" formatCode="0.00">
                  <c:v>-1.7407171455308845E-2</c:v>
                </c:pt>
                <c:pt idx="42" formatCode="0.00">
                  <c:v>-0.13911314913587569</c:v>
                </c:pt>
              </c:numCache>
            </c:numRef>
          </c:yVal>
          <c:smooth val="0"/>
          <c:extLst>
            <c:ext xmlns:c16="http://schemas.microsoft.com/office/drawing/2014/chart" uri="{C3380CC4-5D6E-409C-BE32-E72D297353CC}">
              <c16:uniqueId val="{00000000-E919-4E37-BE58-80752B358980}"/>
            </c:ext>
          </c:extLst>
        </c:ser>
        <c:dLbls>
          <c:showLegendKey val="0"/>
          <c:showVal val="0"/>
          <c:showCatName val="0"/>
          <c:showSerName val="0"/>
          <c:showPercent val="0"/>
          <c:showBubbleSize val="0"/>
        </c:dLbls>
        <c:axId val="1710000639"/>
        <c:axId val="1804425839"/>
      </c:scatterChart>
      <c:valAx>
        <c:axId val="1710000639"/>
        <c:scaling>
          <c:logBase val="10"/>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Delay (in days)</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804425839"/>
        <c:crosses val="autoZero"/>
        <c:crossBetween val="midCat"/>
      </c:valAx>
      <c:valAx>
        <c:axId val="1804425839"/>
        <c:scaling>
          <c:orientation val="minMax"/>
          <c:max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Memory</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710000639"/>
        <c:crossesAt val="0.1"/>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solidFill>
                  <a:schemeClr val="tx1"/>
                </a:solidFill>
              </a:rPr>
              <a:t>t-LTM</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rgbClr val="0070C0"/>
              </a:solidFill>
              <a:ln w="9525">
                <a:solidFill>
                  <a:srgbClr val="0070C0"/>
                </a:solidFill>
              </a:ln>
              <a:effectLst/>
            </c:spPr>
          </c:marker>
          <c:trendline>
            <c:spPr>
              <a:ln w="19050" cap="rnd">
                <a:solidFill>
                  <a:srgbClr val="FFC000"/>
                </a:solidFill>
                <a:prstDash val="solid"/>
              </a:ln>
              <a:effectLst/>
            </c:spPr>
            <c:trendlineType val="log"/>
            <c:dispRSqr val="0"/>
            <c:dispEq val="1"/>
            <c:trendlineLbl>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't-LTM Single graph'!$C$3:$C$43</c:f>
              <c:numCache>
                <c:formatCode>0.0</c:formatCode>
                <c:ptCount val="41"/>
                <c:pt idx="0" formatCode="0">
                  <c:v>7</c:v>
                </c:pt>
                <c:pt idx="2" formatCode="0">
                  <c:v>7</c:v>
                </c:pt>
                <c:pt idx="4" formatCode="0">
                  <c:v>7</c:v>
                </c:pt>
                <c:pt idx="6" formatCode="0">
                  <c:v>7</c:v>
                </c:pt>
                <c:pt idx="8" formatCode="0">
                  <c:v>7</c:v>
                </c:pt>
                <c:pt idx="10" formatCode="0">
                  <c:v>1</c:v>
                </c:pt>
                <c:pt idx="12" formatCode="0">
                  <c:v>1.3333333333333333</c:v>
                </c:pt>
                <c:pt idx="14" formatCode="0">
                  <c:v>2</c:v>
                </c:pt>
                <c:pt idx="16" formatCode="0">
                  <c:v>2</c:v>
                </c:pt>
                <c:pt idx="18" formatCode="0">
                  <c:v>1</c:v>
                </c:pt>
                <c:pt idx="20" formatCode="0">
                  <c:v>1.2916666666666667</c:v>
                </c:pt>
                <c:pt idx="22" formatCode="0">
                  <c:v>7</c:v>
                </c:pt>
                <c:pt idx="24" formatCode="0">
                  <c:v>7</c:v>
                </c:pt>
                <c:pt idx="26" formatCode="0">
                  <c:v>7</c:v>
                </c:pt>
                <c:pt idx="28" formatCode="0">
                  <c:v>0.58333333333333337</c:v>
                </c:pt>
                <c:pt idx="30" formatCode="0">
                  <c:v>0.58333333333333337</c:v>
                </c:pt>
                <c:pt idx="32" formatCode="0">
                  <c:v>0.58333333333333337</c:v>
                </c:pt>
                <c:pt idx="34" formatCode="0">
                  <c:v>2</c:v>
                </c:pt>
                <c:pt idx="36" formatCode="0">
                  <c:v>2</c:v>
                </c:pt>
                <c:pt idx="38" formatCode="0">
                  <c:v>2</c:v>
                </c:pt>
                <c:pt idx="40" formatCode="0">
                  <c:v>2</c:v>
                </c:pt>
              </c:numCache>
            </c:numRef>
          </c:xVal>
          <c:yVal>
            <c:numRef>
              <c:f>'t-LTM Single graph'!$D$3:$D$43</c:f>
              <c:numCache>
                <c:formatCode>General</c:formatCode>
                <c:ptCount val="41"/>
                <c:pt idx="0" formatCode="0.00">
                  <c:v>-1.6564050588993136E-2</c:v>
                </c:pt>
                <c:pt idx="2" formatCode="0.00">
                  <c:v>-5.5457948701854352E-2</c:v>
                </c:pt>
                <c:pt idx="4" formatCode="0.00">
                  <c:v>-0.1863050867167925</c:v>
                </c:pt>
                <c:pt idx="6" formatCode="0.00">
                  <c:v>-0.12398739227197249</c:v>
                </c:pt>
                <c:pt idx="8" formatCode="0.00">
                  <c:v>-0.14703792681329769</c:v>
                </c:pt>
                <c:pt idx="10" formatCode="0.00">
                  <c:v>-0.11311780708734026</c:v>
                </c:pt>
                <c:pt idx="12" formatCode="0.00">
                  <c:v>-8.2979269088313309E-2</c:v>
                </c:pt>
                <c:pt idx="14" formatCode="0.00">
                  <c:v>-0.16047384338199436</c:v>
                </c:pt>
                <c:pt idx="16" formatCode="0.00">
                  <c:v>-0.19804254861197892</c:v>
                </c:pt>
                <c:pt idx="18" formatCode="0.00">
                  <c:v>-0.10376636196991192</c:v>
                </c:pt>
                <c:pt idx="20" formatCode="0.00">
                  <c:v>-0.17719780295865997</c:v>
                </c:pt>
                <c:pt idx="22" formatCode="0.00">
                  <c:v>-0.13684843067023847</c:v>
                </c:pt>
                <c:pt idx="24" formatCode="0.00">
                  <c:v>-0.13133275041199524</c:v>
                </c:pt>
                <c:pt idx="26" formatCode="0.00">
                  <c:v>-0.14364326742087472</c:v>
                </c:pt>
                <c:pt idx="28" formatCode="0.00">
                  <c:v>-0.21069510442248982</c:v>
                </c:pt>
                <c:pt idx="30" formatCode="0.00">
                  <c:v>-0.24023260219154294</c:v>
                </c:pt>
                <c:pt idx="32" formatCode="0.00">
                  <c:v>-0.25798424290738398</c:v>
                </c:pt>
                <c:pt idx="34" formatCode="0.00">
                  <c:v>-9.9558797664040813E-2</c:v>
                </c:pt>
                <c:pt idx="36" formatCode="0.00">
                  <c:v>-6.0025416092165336E-2</c:v>
                </c:pt>
                <c:pt idx="38" formatCode="0.00">
                  <c:v>-1.7407171455308845E-2</c:v>
                </c:pt>
                <c:pt idx="40" formatCode="0.00">
                  <c:v>-0.13911314913587569</c:v>
                </c:pt>
              </c:numCache>
            </c:numRef>
          </c:yVal>
          <c:smooth val="0"/>
          <c:extLst>
            <c:ext xmlns:c16="http://schemas.microsoft.com/office/drawing/2014/chart" uri="{C3380CC4-5D6E-409C-BE32-E72D297353CC}">
              <c16:uniqueId val="{00000000-C565-4E74-93FB-F125F217E5EC}"/>
            </c:ext>
          </c:extLst>
        </c:ser>
        <c:dLbls>
          <c:showLegendKey val="0"/>
          <c:showVal val="0"/>
          <c:showCatName val="0"/>
          <c:showSerName val="0"/>
          <c:showPercent val="0"/>
          <c:showBubbleSize val="0"/>
        </c:dLbls>
        <c:axId val="1710000639"/>
        <c:axId val="1804425839"/>
      </c:scatterChart>
      <c:valAx>
        <c:axId val="1710000639"/>
        <c:scaling>
          <c:logBase val="10"/>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Delay (in days)</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804425839"/>
        <c:crossesAt val="-1"/>
        <c:crossBetween val="midCat"/>
      </c:valAx>
      <c:valAx>
        <c:axId val="1804425839"/>
        <c:scaling>
          <c:orientation val="minMax"/>
          <c:max val="0"/>
          <c:min val="-1"/>
        </c:scaling>
        <c:delete val="0"/>
        <c:axPos val="l"/>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sz="1200">
                    <a:solidFill>
                      <a:sysClr val="windowText" lastClr="000000"/>
                    </a:solidFill>
                  </a:rPr>
                  <a:t>Exponents</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00"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710000639"/>
        <c:crossesAt val="0.1"/>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LLM</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rgbClr val="0070C0"/>
              </a:solidFill>
              <a:ln w="9525">
                <a:solidFill>
                  <a:srgbClr val="0070C0"/>
                </a:solidFill>
              </a:ln>
              <a:effectLst/>
            </c:spPr>
          </c:marker>
          <c:xVal>
            <c:numRef>
              <c:f>'LLM graph'!$C$2:$C$45</c:f>
              <c:numCache>
                <c:formatCode>0.00</c:formatCode>
                <c:ptCount val="44"/>
                <c:pt idx="1">
                  <c:v>0.23013698630136986</c:v>
                </c:pt>
                <c:pt idx="3">
                  <c:v>2.7701674277016742E-2</c:v>
                </c:pt>
                <c:pt idx="5">
                  <c:v>0.16712328767123288</c:v>
                </c:pt>
                <c:pt idx="7">
                  <c:v>0.16712328767123288</c:v>
                </c:pt>
                <c:pt idx="9">
                  <c:v>0.11506849315068493</c:v>
                </c:pt>
                <c:pt idx="11">
                  <c:v>0.11506849315068493</c:v>
                </c:pt>
                <c:pt idx="13">
                  <c:v>0.11506849315068493</c:v>
                </c:pt>
                <c:pt idx="15">
                  <c:v>0.11506849315068493</c:v>
                </c:pt>
                <c:pt idx="17">
                  <c:v>3.8356164383561646E-2</c:v>
                </c:pt>
                <c:pt idx="19">
                  <c:v>0.16712328767123288</c:v>
                </c:pt>
                <c:pt idx="21">
                  <c:v>6.8493150684931503E-2</c:v>
                </c:pt>
                <c:pt idx="23">
                  <c:v>6.8493150684931503E-2</c:v>
                </c:pt>
                <c:pt idx="25">
                  <c:v>5.7534246575342465E-2</c:v>
                </c:pt>
                <c:pt idx="27">
                  <c:v>5.7534246575342465E-2</c:v>
                </c:pt>
                <c:pt idx="29">
                  <c:v>0.11506849315068493</c:v>
                </c:pt>
                <c:pt idx="31">
                  <c:v>0.24657534246575341</c:v>
                </c:pt>
                <c:pt idx="33">
                  <c:v>0.24657534246575341</c:v>
                </c:pt>
                <c:pt idx="35">
                  <c:v>0.24931506849315069</c:v>
                </c:pt>
                <c:pt idx="37">
                  <c:v>3.8356164383561646E-2</c:v>
                </c:pt>
                <c:pt idx="39">
                  <c:v>2.1095890410958904</c:v>
                </c:pt>
                <c:pt idx="41">
                  <c:v>2.1095890410958904</c:v>
                </c:pt>
                <c:pt idx="43">
                  <c:v>3.8356164383561646E-2</c:v>
                </c:pt>
              </c:numCache>
            </c:numRef>
          </c:xVal>
          <c:yVal>
            <c:numRef>
              <c:f>'LLM graph'!$D$2:$D$45</c:f>
              <c:numCache>
                <c:formatCode>0.00</c:formatCode>
                <c:ptCount val="44"/>
                <c:pt idx="1">
                  <c:v>-0.15069728030683968</c:v>
                </c:pt>
                <c:pt idx="3">
                  <c:v>-7.0295685363808869E-2</c:v>
                </c:pt>
                <c:pt idx="5">
                  <c:v>-0.15722364664076066</c:v>
                </c:pt>
                <c:pt idx="7">
                  <c:v>-0.14616358275273308</c:v>
                </c:pt>
                <c:pt idx="9">
                  <c:v>-1.1639941262594255E-2</c:v>
                </c:pt>
                <c:pt idx="11">
                  <c:v>-7.3519163835050028E-2</c:v>
                </c:pt>
                <c:pt idx="13">
                  <c:v>-4.8192523586078895E-2</c:v>
                </c:pt>
                <c:pt idx="15">
                  <c:v>-0.17559401246769624</c:v>
                </c:pt>
                <c:pt idx="17">
                  <c:v>-2.0707266774658013E-2</c:v>
                </c:pt>
                <c:pt idx="19">
                  <c:v>-0.11509432096161484</c:v>
                </c:pt>
                <c:pt idx="21">
                  <c:v>-8.5151640058379441E-2</c:v>
                </c:pt>
                <c:pt idx="23">
                  <c:v>-6.2977119613244162E-2</c:v>
                </c:pt>
                <c:pt idx="25">
                  <c:v>-0.23339505230936583</c:v>
                </c:pt>
                <c:pt idx="27">
                  <c:v>-0.13051652649325521</c:v>
                </c:pt>
                <c:pt idx="29">
                  <c:v>-0.17446648100447038</c:v>
                </c:pt>
                <c:pt idx="31">
                  <c:v>-0.22999800949898919</c:v>
                </c:pt>
                <c:pt idx="33">
                  <c:v>-1.9484243959720874E-2</c:v>
                </c:pt>
                <c:pt idx="35">
                  <c:v>-0.10598219026252227</c:v>
                </c:pt>
                <c:pt idx="37">
                  <c:v>-5.1203070795816458E-2</c:v>
                </c:pt>
                <c:pt idx="39">
                  <c:v>-0.33027216480459509</c:v>
                </c:pt>
                <c:pt idx="41">
                  <c:v>-0.22657487568664167</c:v>
                </c:pt>
                <c:pt idx="43">
                  <c:v>-0.28036390513334736</c:v>
                </c:pt>
              </c:numCache>
            </c:numRef>
          </c:yVal>
          <c:smooth val="0"/>
          <c:extLst>
            <c:ext xmlns:c16="http://schemas.microsoft.com/office/drawing/2014/chart" uri="{C3380CC4-5D6E-409C-BE32-E72D297353CC}">
              <c16:uniqueId val="{00000000-5D47-4B24-B15D-F03F64DC73CE}"/>
            </c:ext>
          </c:extLst>
        </c:ser>
        <c:dLbls>
          <c:showLegendKey val="0"/>
          <c:showVal val="0"/>
          <c:showCatName val="0"/>
          <c:showSerName val="0"/>
          <c:showPercent val="0"/>
          <c:showBubbleSize val="0"/>
        </c:dLbls>
        <c:axId val="1710000639"/>
        <c:axId val="1804425839"/>
      </c:scatterChart>
      <c:valAx>
        <c:axId val="1710000639"/>
        <c:scaling>
          <c:logBase val="10"/>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Delay (in days)</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804425839"/>
        <c:crosses val="autoZero"/>
        <c:crossBetween val="midCat"/>
      </c:valAx>
      <c:valAx>
        <c:axId val="1804425839"/>
        <c:scaling>
          <c:orientation val="minMax"/>
          <c:max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Memory</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710000639"/>
        <c:crossesAt val="0.1"/>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solidFill>
                  <a:schemeClr val="tx1"/>
                </a:solidFill>
              </a:rPr>
              <a:t>LLM</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rgbClr val="0070C0"/>
              </a:solidFill>
              <a:ln w="9525">
                <a:solidFill>
                  <a:srgbClr val="0070C0"/>
                </a:solidFill>
              </a:ln>
              <a:effectLst/>
            </c:spPr>
          </c:marker>
          <c:trendline>
            <c:spPr>
              <a:ln w="19050" cap="rnd">
                <a:solidFill>
                  <a:srgbClr val="FFC000"/>
                </a:solidFill>
                <a:prstDash val="solid"/>
              </a:ln>
              <a:effectLst/>
            </c:spPr>
            <c:trendlineType val="log"/>
            <c:dispRSqr val="0"/>
            <c:dispEq val="1"/>
            <c:trendlineLbl>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'LLM Single graph'!$C$2:$C$25</c:f>
              <c:numCache>
                <c:formatCode>0.00</c:formatCode>
                <c:ptCount val="24"/>
                <c:pt idx="1">
                  <c:v>0.16712328767123288</c:v>
                </c:pt>
                <c:pt idx="3">
                  <c:v>0.16712328767123288</c:v>
                </c:pt>
                <c:pt idx="5">
                  <c:v>0.11506849315068493</c:v>
                </c:pt>
                <c:pt idx="7">
                  <c:v>0.11506849315068493</c:v>
                </c:pt>
                <c:pt idx="9">
                  <c:v>0.16712328767123288</c:v>
                </c:pt>
                <c:pt idx="11">
                  <c:v>5.7534246575342465E-2</c:v>
                </c:pt>
                <c:pt idx="13">
                  <c:v>5.7534246575342465E-2</c:v>
                </c:pt>
                <c:pt idx="15">
                  <c:v>0.11506849315068493</c:v>
                </c:pt>
                <c:pt idx="17">
                  <c:v>0.24657534246575341</c:v>
                </c:pt>
                <c:pt idx="19">
                  <c:v>0.24657534246575341</c:v>
                </c:pt>
                <c:pt idx="21">
                  <c:v>0.24931506849315069</c:v>
                </c:pt>
                <c:pt idx="23">
                  <c:v>3.8356164383561646E-2</c:v>
                </c:pt>
              </c:numCache>
            </c:numRef>
          </c:xVal>
          <c:yVal>
            <c:numRef>
              <c:f>'LLM Single graph'!$D$2:$D$25</c:f>
              <c:numCache>
                <c:formatCode>0.00</c:formatCode>
                <c:ptCount val="24"/>
                <c:pt idx="1">
                  <c:v>-0.15722364664076066</c:v>
                </c:pt>
                <c:pt idx="3">
                  <c:v>-0.14616358275273308</c:v>
                </c:pt>
                <c:pt idx="5">
                  <c:v>-7.3519163835050028E-2</c:v>
                </c:pt>
                <c:pt idx="7">
                  <c:v>-0.17559401246769624</c:v>
                </c:pt>
                <c:pt idx="9">
                  <c:v>-0.11509432096161484</c:v>
                </c:pt>
                <c:pt idx="11">
                  <c:v>-0.23339505230936583</c:v>
                </c:pt>
                <c:pt idx="13">
                  <c:v>-0.13051652649325521</c:v>
                </c:pt>
                <c:pt idx="15">
                  <c:v>-0.17446648100447038</c:v>
                </c:pt>
                <c:pt idx="17">
                  <c:v>-0.22999800949898919</c:v>
                </c:pt>
                <c:pt idx="19">
                  <c:v>-1.9484243959720874E-2</c:v>
                </c:pt>
                <c:pt idx="21">
                  <c:v>-0.10598219026252227</c:v>
                </c:pt>
                <c:pt idx="23">
                  <c:v>-0.28036390513334736</c:v>
                </c:pt>
              </c:numCache>
            </c:numRef>
          </c:yVal>
          <c:smooth val="0"/>
          <c:extLst>
            <c:ext xmlns:c16="http://schemas.microsoft.com/office/drawing/2014/chart" uri="{C3380CC4-5D6E-409C-BE32-E72D297353CC}">
              <c16:uniqueId val="{00000000-6505-455F-B17D-529E8745DC6E}"/>
            </c:ext>
          </c:extLst>
        </c:ser>
        <c:dLbls>
          <c:showLegendKey val="0"/>
          <c:showVal val="0"/>
          <c:showCatName val="0"/>
          <c:showSerName val="0"/>
          <c:showPercent val="0"/>
          <c:showBubbleSize val="0"/>
        </c:dLbls>
        <c:axId val="1710000639"/>
        <c:axId val="1804425839"/>
      </c:scatterChart>
      <c:valAx>
        <c:axId val="1710000639"/>
        <c:scaling>
          <c:logBase val="10"/>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ysClr val="windowText" lastClr="000000"/>
                    </a:solidFill>
                  </a:rPr>
                  <a:t>Delay (in years)</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804425839"/>
        <c:crossesAt val="-1"/>
        <c:crossBetween val="midCat"/>
      </c:valAx>
      <c:valAx>
        <c:axId val="1804425839"/>
        <c:scaling>
          <c:orientation val="minMax"/>
          <c:max val="0"/>
          <c:min val="-1"/>
        </c:scaling>
        <c:delete val="0"/>
        <c:axPos val="l"/>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sz="1200">
                    <a:solidFill>
                      <a:sysClr val="windowText" lastClr="000000"/>
                    </a:solidFill>
                  </a:rPr>
                  <a:t>Exponent</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710000639"/>
        <c:crossesAt val="1.0000000000000002E-2"/>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_xlchart.v1.0</cx:f>
      </cx:numDim>
    </cx:data>
  </cx:chartData>
  <cx:chart>
    <cx:title pos="t" align="ctr" overlay="0"/>
    <cx:plotArea>
      <cx:plotAreaRegion>
        <cx:series layoutId="clusteredColumn" uniqueId="{D66FDA7F-7C7A-4EBE-846E-90D162BDC1CB}" formatIdx="0">
          <cx:dataId val="0"/>
          <cx:layoutPr>
            <cx:binning intervalClosed="r">
              <cx:binSize val="0.010000000000000002"/>
            </cx:binning>
          </cx:layoutPr>
        </cx:series>
      </cx:plotAreaRegion>
      <cx:axis id="0">
        <cx:catScaling gapWidth="0"/>
        <cx:tickLabels/>
      </cx:axis>
      <cx:axis id="1">
        <cx:valScaling/>
        <cx:majorGridlines/>
        <cx:tickLabels/>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numDim type="val">
        <cx:f>_xlchart.v1.1</cx:f>
      </cx:numDim>
    </cx:data>
  </cx:chartData>
  <cx:chart>
    <cx:title pos="t" align="ctr" overlay="0"/>
    <cx:plotArea>
      <cx:plotAreaRegion>
        <cx:series layoutId="clusteredColumn" uniqueId="{D66FDA7F-7C7A-4EBE-846E-90D162BDC1CB}" formatIdx="0">
          <cx:dataId val="0"/>
          <cx:layoutPr>
            <cx:binning intervalClosed="r">
              <cx:binSize val="0.010000000000000002"/>
            </cx:binning>
          </cx:layoutPr>
        </cx:series>
      </cx:plotAreaRegion>
      <cx:axis id="0">
        <cx:catScaling gapWidth="0"/>
        <cx:tickLabels/>
      </cx:axis>
      <cx:axis id="1">
        <cx:valScaling/>
        <cx:majorGridlines/>
        <cx:tickLabels/>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numDim type="val">
        <cx:f>_xlchart.v1.2</cx:f>
      </cx:numDim>
    </cx:data>
  </cx:chartData>
  <cx:chart>
    <cx:title pos="t" align="ctr" overlay="0"/>
    <cx:plotArea>
      <cx:plotAreaRegion>
        <cx:series layoutId="clusteredColumn" uniqueId="{D66FDA7F-7C7A-4EBE-846E-90D162BDC1CB}" formatIdx="0">
          <cx:dataId val="0"/>
          <cx:layoutPr>
            <cx:binning intervalClosed="r">
              <cx:binSize val="0.010000000000000002"/>
            </cx:binning>
          </cx:layoutPr>
        </cx:series>
      </cx:plotAreaRegion>
      <cx:axis id="0">
        <cx:catScaling gapWidth="0"/>
        <cx:tickLabels/>
      </cx:axis>
      <cx:axis id="1">
        <cx:valScaling/>
        <cx:majorGridlines/>
        <cx:tickLabels/>
      </cx:axis>
    </cx:plotArea>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numDim type="val">
        <cx:f>_xlchart.v1.3</cx:f>
      </cx:numDim>
    </cx:data>
  </cx:chartData>
  <cx:chart>
    <cx:title pos="t" align="ctr" overlay="0"/>
    <cx:plotArea>
      <cx:plotAreaRegion>
        <cx:series layoutId="clusteredColumn" uniqueId="{D66FDA7F-7C7A-4EBE-846E-90D162BDC1CB}" formatIdx="0">
          <cx:dataId val="0"/>
          <cx:layoutPr>
            <cx:binning intervalClosed="r">
              <cx:binSize val="0.010000000000000002"/>
            </cx:binning>
          </cx:layoutPr>
        </cx:series>
      </cx:plotAreaRegion>
      <cx:axis id="0">
        <cx:catScaling gapWidth="0"/>
        <cx:tickLabels/>
      </cx:axis>
      <cx:axis id="1">
        <cx:valScaling/>
        <cx:majorGridlines/>
        <cx:tickLabels/>
      </cx:axis>
    </cx:plotArea>
  </cx:chart>
</cx:chartSpace>
</file>

<file path=xl/charts/chartEx5.xml><?xml version="1.0" encoding="utf-8"?>
<cx:chartSpace xmlns:a="http://schemas.openxmlformats.org/drawingml/2006/main" xmlns:r="http://schemas.openxmlformats.org/officeDocument/2006/relationships" xmlns:cx="http://schemas.microsoft.com/office/drawing/2014/chartex">
  <cx:chartData>
    <cx:data id="0">
      <cx:numDim type="val">
        <cx:f>_xlchart.v1.4</cx:f>
      </cx:numDim>
    </cx:data>
  </cx:chartData>
  <cx:chart>
    <cx:title pos="t" align="ctr" overlay="0"/>
    <cx:plotArea>
      <cx:plotAreaRegion>
        <cx:series layoutId="clusteredColumn" uniqueId="{D66FDA7F-7C7A-4EBE-846E-90D162BDC1CB}" formatIdx="0">
          <cx:dataId val="0"/>
          <cx:layoutPr>
            <cx:binning intervalClosed="r">
              <cx:binSize val="0.010000000000000002"/>
            </cx:binning>
          </cx:layoutPr>
        </cx:series>
      </cx:plotAreaRegion>
      <cx:axis id="0">
        <cx:catScaling gapWidth="0"/>
        <cx:tickLabels/>
      </cx:axis>
      <cx:axis id="1">
        <cx:valScaling/>
        <cx:majorGridlines/>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4.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microsoft.com/office/2014/relationships/chartEx" Target="../charts/chartEx3.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2" Type="http://schemas.microsoft.com/office/2014/relationships/chartEx" Target="../charts/chartEx5.xml"/><Relationship Id="rId1" Type="http://schemas.microsoft.com/office/2014/relationships/chartEx" Target="../charts/chartEx4.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microsoft.com/office/2014/relationships/chartEx" Target="../charts/chartEx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microsoft.com/office/2014/relationships/chartEx" Target="../charts/chartEx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5</xdr:col>
      <xdr:colOff>266700</xdr:colOff>
      <xdr:row>2</xdr:row>
      <xdr:rowOff>4762</xdr:rowOff>
    </xdr:from>
    <xdr:to>
      <xdr:col>12</xdr:col>
      <xdr:colOff>571500</xdr:colOff>
      <xdr:row>16</xdr:row>
      <xdr:rowOff>80962</xdr:rowOff>
    </xdr:to>
    <xdr:graphicFrame macro="">
      <xdr:nvGraphicFramePr>
        <xdr:cNvPr id="2" name="Chart 1">
          <a:extLst>
            <a:ext uri="{FF2B5EF4-FFF2-40B4-BE49-F238E27FC236}">
              <a16:creationId xmlns:a16="http://schemas.microsoft.com/office/drawing/2014/main" id="{CBF86D37-B581-406A-9917-6151060AB85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57</xdr:col>
      <xdr:colOff>508000</xdr:colOff>
      <xdr:row>1</xdr:row>
      <xdr:rowOff>0</xdr:rowOff>
    </xdr:from>
    <xdr:to>
      <xdr:col>67</xdr:col>
      <xdr:colOff>158750</xdr:colOff>
      <xdr:row>2</xdr:row>
      <xdr:rowOff>127000</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276EF238-F864-4C01-ADFE-FC385234247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5</xdr:col>
      <xdr:colOff>266700</xdr:colOff>
      <xdr:row>2</xdr:row>
      <xdr:rowOff>4762</xdr:rowOff>
    </xdr:from>
    <xdr:to>
      <xdr:col>12</xdr:col>
      <xdr:colOff>571500</xdr:colOff>
      <xdr:row>16</xdr:row>
      <xdr:rowOff>80962</xdr:rowOff>
    </xdr:to>
    <xdr:graphicFrame macro="">
      <xdr:nvGraphicFramePr>
        <xdr:cNvPr id="2" name="Chart 1">
          <a:extLst>
            <a:ext uri="{FF2B5EF4-FFF2-40B4-BE49-F238E27FC236}">
              <a16:creationId xmlns:a16="http://schemas.microsoft.com/office/drawing/2014/main" id="{2975A034-07C7-4B94-B6A5-0B338934BD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266700</xdr:colOff>
      <xdr:row>2</xdr:row>
      <xdr:rowOff>4762</xdr:rowOff>
    </xdr:from>
    <xdr:to>
      <xdr:col>12</xdr:col>
      <xdr:colOff>571500</xdr:colOff>
      <xdr:row>16</xdr:row>
      <xdr:rowOff>80962</xdr:rowOff>
    </xdr:to>
    <xdr:graphicFrame macro="">
      <xdr:nvGraphicFramePr>
        <xdr:cNvPr id="2" name="Chart 1">
          <a:extLst>
            <a:ext uri="{FF2B5EF4-FFF2-40B4-BE49-F238E27FC236}">
              <a16:creationId xmlns:a16="http://schemas.microsoft.com/office/drawing/2014/main" id="{D68234D6-EA40-4F7D-ADCC-E6BD1AF7E6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57</xdr:col>
      <xdr:colOff>508000</xdr:colOff>
      <xdr:row>1</xdr:row>
      <xdr:rowOff>0</xdr:rowOff>
    </xdr:from>
    <xdr:to>
      <xdr:col>67</xdr:col>
      <xdr:colOff>158750</xdr:colOff>
      <xdr:row>7</xdr:row>
      <xdr:rowOff>0</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A96ACA33-9FA9-49A1-8350-6DB6A9ADED9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57</xdr:col>
      <xdr:colOff>508000</xdr:colOff>
      <xdr:row>1</xdr:row>
      <xdr:rowOff>0</xdr:rowOff>
    </xdr:from>
    <xdr:to>
      <xdr:col>67</xdr:col>
      <xdr:colOff>158750</xdr:colOff>
      <xdr:row>2</xdr:row>
      <xdr:rowOff>127000</xdr:rowOff>
    </xdr:to>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214D59CA-F24A-4A04-B839-57DBA0769952}"/>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14.xml><?xml version="1.0" encoding="utf-8"?>
<xdr:wsDr xmlns:xdr="http://schemas.openxmlformats.org/drawingml/2006/spreadsheetDrawing" xmlns:a="http://schemas.openxmlformats.org/drawingml/2006/main">
  <xdr:twoCellAnchor>
    <xdr:from>
      <xdr:col>5</xdr:col>
      <xdr:colOff>266700</xdr:colOff>
      <xdr:row>2</xdr:row>
      <xdr:rowOff>4762</xdr:rowOff>
    </xdr:from>
    <xdr:to>
      <xdr:col>12</xdr:col>
      <xdr:colOff>571500</xdr:colOff>
      <xdr:row>16</xdr:row>
      <xdr:rowOff>80962</xdr:rowOff>
    </xdr:to>
    <xdr:graphicFrame macro="">
      <xdr:nvGraphicFramePr>
        <xdr:cNvPr id="2" name="Chart 1">
          <a:extLst>
            <a:ext uri="{FF2B5EF4-FFF2-40B4-BE49-F238E27FC236}">
              <a16:creationId xmlns:a16="http://schemas.microsoft.com/office/drawing/2014/main" id="{6CBC4674-F0FB-41F9-974B-EC31DB0F20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428625</xdr:colOff>
      <xdr:row>1</xdr:row>
      <xdr:rowOff>71437</xdr:rowOff>
    </xdr:from>
    <xdr:to>
      <xdr:col>12</xdr:col>
      <xdr:colOff>123825</xdr:colOff>
      <xdr:row>15</xdr:row>
      <xdr:rowOff>147637</xdr:rowOff>
    </xdr:to>
    <xdr:graphicFrame macro="">
      <xdr:nvGraphicFramePr>
        <xdr:cNvPr id="2" name="Chart 1">
          <a:extLst>
            <a:ext uri="{FF2B5EF4-FFF2-40B4-BE49-F238E27FC236}">
              <a16:creationId xmlns:a16="http://schemas.microsoft.com/office/drawing/2014/main" id="{39675FCD-182F-4700-8D1C-9D19A764173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6</xdr:col>
      <xdr:colOff>381000</xdr:colOff>
      <xdr:row>2</xdr:row>
      <xdr:rowOff>52387</xdr:rowOff>
    </xdr:from>
    <xdr:to>
      <xdr:col>14</xdr:col>
      <xdr:colOff>76200</xdr:colOff>
      <xdr:row>16</xdr:row>
      <xdr:rowOff>128587</xdr:rowOff>
    </xdr:to>
    <xdr:graphicFrame macro="">
      <xdr:nvGraphicFramePr>
        <xdr:cNvPr id="3" name="Chart 2">
          <a:extLst>
            <a:ext uri="{FF2B5EF4-FFF2-40B4-BE49-F238E27FC236}">
              <a16:creationId xmlns:a16="http://schemas.microsoft.com/office/drawing/2014/main" id="{90440197-8D9A-43DC-A950-F482B56B3A8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3</xdr:col>
      <xdr:colOff>585787</xdr:colOff>
      <xdr:row>0</xdr:row>
      <xdr:rowOff>71437</xdr:rowOff>
    </xdr:from>
    <xdr:to>
      <xdr:col>11</xdr:col>
      <xdr:colOff>280987</xdr:colOff>
      <xdr:row>14</xdr:row>
      <xdr:rowOff>147637</xdr:rowOff>
    </xdr:to>
    <xdr:graphicFrame macro="">
      <xdr:nvGraphicFramePr>
        <xdr:cNvPr id="2" name="Chart 1">
          <a:extLst>
            <a:ext uri="{FF2B5EF4-FFF2-40B4-BE49-F238E27FC236}">
              <a16:creationId xmlns:a16="http://schemas.microsoft.com/office/drawing/2014/main" id="{05E863C3-0049-455E-B191-50418F94B7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266700</xdr:colOff>
      <xdr:row>2</xdr:row>
      <xdr:rowOff>4762</xdr:rowOff>
    </xdr:from>
    <xdr:to>
      <xdr:col>12</xdr:col>
      <xdr:colOff>571500</xdr:colOff>
      <xdr:row>16</xdr:row>
      <xdr:rowOff>80962</xdr:rowOff>
    </xdr:to>
    <xdr:graphicFrame macro="">
      <xdr:nvGraphicFramePr>
        <xdr:cNvPr id="2" name="Chart 1">
          <a:extLst>
            <a:ext uri="{FF2B5EF4-FFF2-40B4-BE49-F238E27FC236}">
              <a16:creationId xmlns:a16="http://schemas.microsoft.com/office/drawing/2014/main" id="{DE85CA36-D21A-474A-9385-5C83B82165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266700</xdr:colOff>
      <xdr:row>2</xdr:row>
      <xdr:rowOff>4762</xdr:rowOff>
    </xdr:from>
    <xdr:to>
      <xdr:col>12</xdr:col>
      <xdr:colOff>571500</xdr:colOff>
      <xdr:row>16</xdr:row>
      <xdr:rowOff>80962</xdr:rowOff>
    </xdr:to>
    <xdr:graphicFrame macro="">
      <xdr:nvGraphicFramePr>
        <xdr:cNvPr id="2" name="Chart 1">
          <a:extLst>
            <a:ext uri="{FF2B5EF4-FFF2-40B4-BE49-F238E27FC236}">
              <a16:creationId xmlns:a16="http://schemas.microsoft.com/office/drawing/2014/main" id="{4216C531-F3E9-4D8A-92C4-B0BA49AD09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266700</xdr:colOff>
      <xdr:row>2</xdr:row>
      <xdr:rowOff>4762</xdr:rowOff>
    </xdr:from>
    <xdr:to>
      <xdr:col>12</xdr:col>
      <xdr:colOff>571500</xdr:colOff>
      <xdr:row>16</xdr:row>
      <xdr:rowOff>80962</xdr:rowOff>
    </xdr:to>
    <xdr:graphicFrame macro="">
      <xdr:nvGraphicFramePr>
        <xdr:cNvPr id="2" name="Chart 1">
          <a:extLst>
            <a:ext uri="{FF2B5EF4-FFF2-40B4-BE49-F238E27FC236}">
              <a16:creationId xmlns:a16="http://schemas.microsoft.com/office/drawing/2014/main" id="{A5880D04-A5E6-4765-A3D0-781161B56E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xdr:col>
      <xdr:colOff>266700</xdr:colOff>
      <xdr:row>2</xdr:row>
      <xdr:rowOff>4762</xdr:rowOff>
    </xdr:from>
    <xdr:to>
      <xdr:col>12</xdr:col>
      <xdr:colOff>571500</xdr:colOff>
      <xdr:row>16</xdr:row>
      <xdr:rowOff>80962</xdr:rowOff>
    </xdr:to>
    <xdr:graphicFrame macro="">
      <xdr:nvGraphicFramePr>
        <xdr:cNvPr id="2" name="Chart 1">
          <a:extLst>
            <a:ext uri="{FF2B5EF4-FFF2-40B4-BE49-F238E27FC236}">
              <a16:creationId xmlns:a16="http://schemas.microsoft.com/office/drawing/2014/main" id="{9FA63ECD-AA7B-4E73-8706-38CE3ECA24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57</xdr:col>
      <xdr:colOff>508000</xdr:colOff>
      <xdr:row>4</xdr:row>
      <xdr:rowOff>51857</xdr:rowOff>
    </xdr:from>
    <xdr:to>
      <xdr:col>67</xdr:col>
      <xdr:colOff>158750</xdr:colOff>
      <xdr:row>7</xdr:row>
      <xdr:rowOff>0</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B0AA5764-384B-4002-8666-13E83AB6A24E}"/>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xdr:from>
      <xdr:col>5</xdr:col>
      <xdr:colOff>266700</xdr:colOff>
      <xdr:row>2</xdr:row>
      <xdr:rowOff>4762</xdr:rowOff>
    </xdr:from>
    <xdr:to>
      <xdr:col>12</xdr:col>
      <xdr:colOff>571500</xdr:colOff>
      <xdr:row>16</xdr:row>
      <xdr:rowOff>80962</xdr:rowOff>
    </xdr:to>
    <xdr:graphicFrame macro="">
      <xdr:nvGraphicFramePr>
        <xdr:cNvPr id="2" name="Chart 1">
          <a:extLst>
            <a:ext uri="{FF2B5EF4-FFF2-40B4-BE49-F238E27FC236}">
              <a16:creationId xmlns:a16="http://schemas.microsoft.com/office/drawing/2014/main" id="{3676825D-27ED-47DD-BEA1-1A73B2C61B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57</xdr:col>
      <xdr:colOff>508000</xdr:colOff>
      <xdr:row>4</xdr:row>
      <xdr:rowOff>51857</xdr:rowOff>
    </xdr:from>
    <xdr:to>
      <xdr:col>67</xdr:col>
      <xdr:colOff>158750</xdr:colOff>
      <xdr:row>7</xdr:row>
      <xdr:rowOff>0</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E9C62FC9-3425-4EC6-84CF-D655473D470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xdr:from>
      <xdr:col>5</xdr:col>
      <xdr:colOff>266700</xdr:colOff>
      <xdr:row>2</xdr:row>
      <xdr:rowOff>4762</xdr:rowOff>
    </xdr:from>
    <xdr:to>
      <xdr:col>12</xdr:col>
      <xdr:colOff>571500</xdr:colOff>
      <xdr:row>16</xdr:row>
      <xdr:rowOff>80962</xdr:rowOff>
    </xdr:to>
    <xdr:graphicFrame macro="">
      <xdr:nvGraphicFramePr>
        <xdr:cNvPr id="2" name="Chart 1">
          <a:extLst>
            <a:ext uri="{FF2B5EF4-FFF2-40B4-BE49-F238E27FC236}">
              <a16:creationId xmlns:a16="http://schemas.microsoft.com/office/drawing/2014/main" id="{C993590D-BDA0-4971-97F8-711C99972F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Right="0"/>
  </sheetPr>
  <dimension ref="A1:CU179"/>
  <sheetViews>
    <sheetView tabSelected="1" zoomScale="90" zoomScaleNormal="90" workbookViewId="0">
      <pane ySplit="1" topLeftCell="A2" activePane="bottomLeft" state="frozen"/>
      <selection activeCell="AU1" sqref="AU1"/>
      <selection pane="bottomLeft" activeCell="A2" sqref="A2"/>
    </sheetView>
  </sheetViews>
  <sheetFormatPr defaultColWidth="5.28515625" defaultRowHeight="12" customHeight="1" outlineLevelCol="1" x14ac:dyDescent="0.2"/>
  <cols>
    <col min="1" max="1" width="13.85546875" style="33" bestFit="1" customWidth="1"/>
    <col min="2" max="2" width="21.42578125" style="10" customWidth="1"/>
    <col min="3" max="3" width="13.85546875" style="10" customWidth="1"/>
    <col min="4" max="4" width="12" style="36" bestFit="1" customWidth="1"/>
    <col min="5" max="5" width="4.85546875" style="42" customWidth="1"/>
    <col min="6" max="7" width="12" style="36" customWidth="1"/>
    <col min="8" max="8" width="14.85546875" style="36" customWidth="1"/>
    <col min="9" max="9" width="30.5703125" style="36" customWidth="1"/>
    <col min="10" max="10" width="17.28515625" style="36" customWidth="1"/>
    <col min="11" max="11" width="10.7109375" style="36" customWidth="1"/>
    <col min="12" max="12" width="11.28515625" style="36" customWidth="1"/>
    <col min="13" max="13" width="11.42578125" style="36" customWidth="1"/>
    <col min="14" max="14" width="16.28515625" style="36" customWidth="1"/>
    <col min="15" max="15" width="10.28515625" style="36" customWidth="1"/>
    <col min="16" max="16" width="22.7109375" style="36" customWidth="1"/>
    <col min="17" max="17" width="18.28515625" style="36" customWidth="1"/>
    <col min="18" max="18" width="10.140625" style="36" customWidth="1"/>
    <col min="19" max="19" width="11.42578125" style="36" customWidth="1"/>
    <col min="20" max="20" width="7.7109375" style="36" customWidth="1"/>
    <col min="21" max="22" width="12.140625" style="36" customWidth="1"/>
    <col min="23" max="23" width="13.85546875" style="36" customWidth="1"/>
    <col min="24" max="24" width="12" style="36" customWidth="1"/>
    <col min="25" max="25" width="12" style="42" customWidth="1"/>
    <col min="26" max="26" width="18.28515625" style="36" customWidth="1"/>
    <col min="27" max="27" width="12" style="36" customWidth="1"/>
    <col min="28" max="28" width="19.7109375" style="36" customWidth="1"/>
    <col min="29" max="29" width="13.5703125" style="36" customWidth="1"/>
    <col min="30" max="30" width="15.7109375" style="36" customWidth="1"/>
    <col min="31" max="31" width="12" style="36" customWidth="1"/>
    <col min="32" max="32" width="14.85546875" style="46" customWidth="1"/>
    <col min="33" max="33" width="11.7109375" style="29" customWidth="1"/>
    <col min="34" max="34" width="10.7109375" style="8" customWidth="1"/>
    <col min="35" max="35" width="9.28515625" style="29" bestFit="1" customWidth="1"/>
    <col min="36" max="36" width="8.5703125" style="54" bestFit="1" customWidth="1"/>
    <col min="37" max="37" width="16" style="29" bestFit="1" customWidth="1"/>
    <col min="38" max="38" width="9.140625" style="29" bestFit="1" customWidth="1"/>
    <col min="39" max="39" width="15.85546875" style="29" bestFit="1" customWidth="1"/>
    <col min="40" max="40" width="15.5703125" style="29" bestFit="1" customWidth="1"/>
    <col min="41" max="41" width="6.85546875" style="29" bestFit="1" customWidth="1" outlineLevel="1"/>
    <col min="42" max="42" width="13.28515625" style="29" bestFit="1" customWidth="1" outlineLevel="1"/>
    <col min="43" max="43" width="13.42578125" style="29" bestFit="1" customWidth="1" outlineLevel="1"/>
    <col min="44" max="44" width="11" style="54" bestFit="1" customWidth="1" outlineLevel="1"/>
    <col min="45" max="45" width="20.28515625" style="29" bestFit="1" customWidth="1" outlineLevel="1"/>
    <col min="46" max="46" width="17.42578125" style="29" bestFit="1" customWidth="1" outlineLevel="1"/>
    <col min="47" max="47" width="4.42578125" style="8" bestFit="1" customWidth="1" outlineLevel="1"/>
    <col min="48" max="48" width="13.42578125" style="23" bestFit="1" customWidth="1" outlineLevel="1"/>
    <col min="49" max="49" width="10" style="23" bestFit="1" customWidth="1" outlineLevel="1"/>
    <col min="50" max="50" width="11" style="23" bestFit="1" customWidth="1" outlineLevel="1"/>
    <col min="51" max="51" width="13.140625" style="23" customWidth="1" outlineLevel="1"/>
    <col min="52" max="52" width="12.140625" style="23" customWidth="1"/>
    <col min="53" max="53" width="12" style="23" customWidth="1"/>
    <col min="54" max="54" width="13.28515625" style="23" customWidth="1"/>
    <col min="55" max="55" width="11" style="16" bestFit="1" customWidth="1"/>
    <col min="56" max="56" width="12.7109375" style="16" customWidth="1"/>
    <col min="57" max="57" width="11" style="16" bestFit="1" customWidth="1"/>
    <col min="58" max="58" width="11.85546875" style="16" customWidth="1"/>
    <col min="59" max="60" width="10" style="16" bestFit="1" customWidth="1"/>
    <col min="61" max="61" width="10.42578125" style="16" bestFit="1" customWidth="1"/>
    <col min="62" max="62" width="10" style="16" bestFit="1" customWidth="1"/>
    <col min="63" max="71" width="8" style="16" bestFit="1" customWidth="1"/>
    <col min="72" max="74" width="10.42578125" style="16" bestFit="1" customWidth="1"/>
    <col min="75" max="95" width="11.42578125" style="16" bestFit="1" customWidth="1"/>
    <col min="96" max="99" width="12.42578125" style="10" bestFit="1" customWidth="1"/>
    <col min="100" max="133" width="10.42578125" style="10" bestFit="1" customWidth="1"/>
    <col min="134" max="16384" width="5.28515625" style="10"/>
  </cols>
  <sheetData>
    <row r="1" spans="1:99" s="89" customFormat="1" ht="12" customHeight="1" x14ac:dyDescent="0.2">
      <c r="A1" s="78" t="s">
        <v>81</v>
      </c>
      <c r="B1" s="79" t="s">
        <v>0</v>
      </c>
      <c r="C1" s="79" t="s">
        <v>1</v>
      </c>
      <c r="D1" s="80" t="s">
        <v>2</v>
      </c>
      <c r="E1" s="81" t="s">
        <v>131</v>
      </c>
      <c r="F1" s="80" t="s">
        <v>6</v>
      </c>
      <c r="G1" s="80" t="s">
        <v>110</v>
      </c>
      <c r="H1" s="80" t="s">
        <v>1</v>
      </c>
      <c r="I1" s="80" t="s">
        <v>8</v>
      </c>
      <c r="J1" s="80" t="s">
        <v>7</v>
      </c>
      <c r="K1" s="80" t="s">
        <v>127</v>
      </c>
      <c r="L1" s="80" t="s">
        <v>122</v>
      </c>
      <c r="M1" s="80" t="s">
        <v>125</v>
      </c>
      <c r="N1" s="80" t="s">
        <v>123</v>
      </c>
      <c r="O1" s="80" t="s">
        <v>5</v>
      </c>
      <c r="P1" s="80" t="s">
        <v>126</v>
      </c>
      <c r="Q1" s="80" t="s">
        <v>3</v>
      </c>
      <c r="R1" s="80" t="s">
        <v>124</v>
      </c>
      <c r="S1" s="80" t="s">
        <v>4</v>
      </c>
      <c r="T1" s="80" t="s">
        <v>68</v>
      </c>
      <c r="U1" s="80" t="s">
        <v>165</v>
      </c>
      <c r="V1" s="80" t="s">
        <v>120</v>
      </c>
      <c r="W1" s="80" t="s">
        <v>121</v>
      </c>
      <c r="X1" s="80" t="s">
        <v>128</v>
      </c>
      <c r="Y1" s="81" t="s">
        <v>117</v>
      </c>
      <c r="Z1" s="80" t="s">
        <v>129</v>
      </c>
      <c r="AA1" s="80" t="s">
        <v>87</v>
      </c>
      <c r="AB1" s="80" t="s">
        <v>85</v>
      </c>
      <c r="AC1" s="80" t="s">
        <v>86</v>
      </c>
      <c r="AD1" s="80" t="s">
        <v>130</v>
      </c>
      <c r="AE1" s="80" t="s">
        <v>118</v>
      </c>
      <c r="AF1" s="82" t="s">
        <v>119</v>
      </c>
      <c r="AG1" s="83" t="s">
        <v>114</v>
      </c>
      <c r="AH1" s="84"/>
      <c r="AI1" s="85" t="s">
        <v>180</v>
      </c>
      <c r="AJ1" s="86" t="s">
        <v>74</v>
      </c>
      <c r="AK1" s="83" t="s">
        <v>9</v>
      </c>
      <c r="AL1" s="85" t="s">
        <v>181</v>
      </c>
      <c r="AM1" s="83" t="s">
        <v>10</v>
      </c>
      <c r="AN1" s="83" t="s">
        <v>11</v>
      </c>
      <c r="AO1" s="85" t="s">
        <v>182</v>
      </c>
      <c r="AP1" s="83" t="s">
        <v>80</v>
      </c>
      <c r="AQ1" s="85" t="s">
        <v>183</v>
      </c>
      <c r="AR1" s="86" t="s">
        <v>78</v>
      </c>
      <c r="AS1" s="85" t="s">
        <v>184</v>
      </c>
      <c r="AT1" s="83" t="s">
        <v>79</v>
      </c>
      <c r="AU1" s="84"/>
      <c r="AV1" s="87" t="s">
        <v>75</v>
      </c>
      <c r="AW1" s="87"/>
      <c r="AX1" s="87"/>
      <c r="AY1" s="87"/>
      <c r="AZ1" s="87"/>
      <c r="BA1" s="87"/>
      <c r="BB1" s="87"/>
      <c r="BC1" s="88"/>
      <c r="BD1" s="88"/>
      <c r="BE1" s="88"/>
      <c r="BF1" s="88"/>
      <c r="BG1" s="88"/>
      <c r="BH1" s="88"/>
      <c r="BI1" s="88"/>
      <c r="BJ1" s="88"/>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79"/>
      <c r="CS1" s="79"/>
      <c r="CT1" s="79"/>
      <c r="CU1" s="79"/>
    </row>
    <row r="2" spans="1:99" s="68" customFormat="1" ht="12" customHeight="1" x14ac:dyDescent="0.2">
      <c r="A2" s="94">
        <v>43509</v>
      </c>
      <c r="B2" s="95"/>
      <c r="C2" s="95"/>
      <c r="D2" s="96"/>
      <c r="E2" s="97"/>
      <c r="F2" s="96"/>
      <c r="G2" s="96"/>
      <c r="H2" s="96"/>
      <c r="I2" s="96"/>
      <c r="J2" s="96"/>
      <c r="K2" s="77"/>
      <c r="L2" s="96"/>
      <c r="M2" s="96"/>
      <c r="N2" s="96"/>
      <c r="O2" s="96"/>
      <c r="P2" s="96"/>
      <c r="Q2" s="96"/>
      <c r="R2" s="77"/>
      <c r="S2" s="96"/>
      <c r="T2" s="77"/>
      <c r="U2" s="32"/>
      <c r="V2" s="96"/>
      <c r="W2" s="77"/>
      <c r="X2" s="96"/>
      <c r="Y2" s="98"/>
      <c r="Z2" s="96"/>
      <c r="AA2" s="96"/>
      <c r="AB2" s="77"/>
      <c r="AC2" s="77"/>
      <c r="AD2" s="77"/>
      <c r="AE2" s="77"/>
      <c r="AF2" s="99"/>
      <c r="AG2" s="100"/>
      <c r="AH2" s="62"/>
      <c r="AI2" s="49"/>
      <c r="AJ2" s="56"/>
      <c r="AK2" s="49"/>
      <c r="AL2" s="49"/>
      <c r="AM2" s="49"/>
      <c r="AN2" s="49"/>
      <c r="AO2" s="49"/>
      <c r="AP2" s="49"/>
      <c r="AQ2" s="49"/>
      <c r="AR2" s="49"/>
      <c r="AS2" s="104"/>
      <c r="AT2" s="104"/>
      <c r="AU2" s="62"/>
      <c r="AV2" s="107">
        <f>5*60</f>
        <v>300</v>
      </c>
      <c r="AW2" s="107">
        <f>2*24*3600</f>
        <v>172800</v>
      </c>
      <c r="AX2" s="107">
        <f>7*24*3600</f>
        <v>604800</v>
      </c>
      <c r="AY2" s="108"/>
      <c r="AZ2" s="108"/>
      <c r="BA2" s="108"/>
      <c r="BB2" s="108"/>
      <c r="BC2" s="108"/>
      <c r="BD2" s="108"/>
      <c r="BE2" s="108"/>
      <c r="BF2" s="108"/>
      <c r="BG2" s="108"/>
      <c r="BH2" s="108"/>
      <c r="BI2" s="108"/>
      <c r="BJ2" s="108"/>
      <c r="BK2" s="108"/>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2"/>
      <c r="CS2" s="92"/>
      <c r="CT2" s="92"/>
      <c r="CU2" s="92"/>
    </row>
    <row r="3" spans="1:99" s="68" customFormat="1" ht="12" customHeight="1" x14ac:dyDescent="0.2">
      <c r="A3" s="94">
        <v>43509</v>
      </c>
      <c r="B3" s="95" t="s">
        <v>192</v>
      </c>
      <c r="C3" s="95" t="s">
        <v>193</v>
      </c>
      <c r="D3" s="96">
        <v>1982</v>
      </c>
      <c r="E3" s="97">
        <v>1</v>
      </c>
      <c r="F3" s="96">
        <v>237</v>
      </c>
      <c r="G3" s="96">
        <v>10</v>
      </c>
      <c r="H3" s="96" t="s">
        <v>28</v>
      </c>
      <c r="I3" s="96" t="s">
        <v>194</v>
      </c>
      <c r="J3" s="96" t="s">
        <v>88</v>
      </c>
      <c r="K3" s="77" t="str">
        <f>IF(J3="syllables","1",IF(J3="trigrams","2",IF(J3="trigram-word pairs","3",IF(J3="visual array","4",IF(J3="characters","5",IF(J3="letters","6",IF(J3="free forms","7",IF(J3="odors","8",IF(J3="words","9",IF(J3="pictures","10",IF(J3="object pictures","11",IF(J3="faces","12",IF(J3="names","13",IF(J3="syllable-digit pairs","14",IF(J3="word-digit pairs","15",IF(J3="English-Swahili pairs","16",IF(J3="word pairs","17",IF(J3="word triads","18",IF(J3="generated words","19",IF(J3="word definition pairs","20",IF(J3="math problems","21",IF(J3="sentences","22",IF(J3="idioms","23",IF(J3="concepts","24",IF(J3="ad slides","25",IF(J3="scenes","26",IF(J3="poems","27",IF(J3="walk","28",IF(J3="flashbulb","29",IF(J3="stories","30",IF(J3="course material","31",IF(J3="grades","32",IF(J3="autobiographical","33",IF(J3="novels","34",IF(J3="spatial position","35",IF(J3="famous faces","36",IF(J3="famous names","37",IF(J3="famous voices","38",IF(J3="famous scenes","39",IF(J3="public events","40",IF(J3="faces and events","41",IF(J3="events and names","42",IF(J3="television programs","43",IF(J3="race horses","44",IF(J3="new vocabulary","45",IF(J3="order","90","99"))))))))))))))))))))))))))))))))))))))))))))))</f>
        <v>12</v>
      </c>
      <c r="L3" s="96">
        <v>2</v>
      </c>
      <c r="M3" s="96" t="s">
        <v>195</v>
      </c>
      <c r="N3" s="96">
        <v>1</v>
      </c>
      <c r="O3" s="96" t="s">
        <v>195</v>
      </c>
      <c r="P3" s="96"/>
      <c r="Q3" s="96" t="s">
        <v>18</v>
      </c>
      <c r="R3" s="77" t="str">
        <f>IF(Q3="Free Recall","1",IF(Q3="Cued Recall","2",IF(Q3="Recognition","3",IF(Q3="Multiple Choice","4",IF(Q3="Savings","5",IF(Q3="Stem Completion","6",IF(Q3="Fragment Completion","7",IF(Q3="anagram solution","8",IF(Q3="Matching","9",IF(Q3="Problem Solving","10","99"))))))))))</f>
        <v>3</v>
      </c>
      <c r="S3" s="96" t="s">
        <v>196</v>
      </c>
      <c r="T3" s="77" t="s">
        <v>72</v>
      </c>
      <c r="U3" s="32">
        <f>IF(T3="within",1,0)</f>
        <v>0</v>
      </c>
      <c r="V3" s="96">
        <v>12</v>
      </c>
      <c r="W3" s="77">
        <f>F3*V3</f>
        <v>2844</v>
      </c>
      <c r="X3" s="96">
        <v>3</v>
      </c>
      <c r="Y3" s="98">
        <f>AV2</f>
        <v>300</v>
      </c>
      <c r="Z3" s="96" t="s">
        <v>41</v>
      </c>
      <c r="AA3" s="96">
        <f>7*24*3600</f>
        <v>604800</v>
      </c>
      <c r="AB3" s="77" t="str">
        <f>IF(AA3&lt;60,"1",IF(AA3&lt;=43200,"2",IF(AA3&lt;=777600,"3","4")))</f>
        <v>3</v>
      </c>
      <c r="AC3" s="100">
        <f>AVERAGE(AV2:DA2)</f>
        <v>259300</v>
      </c>
      <c r="AD3" s="77" t="str">
        <f>IF(AC3&lt;60,"1",IF(AC3&lt;=43200,"2",IF(AC3&lt;=777600,"3","4")))</f>
        <v>3</v>
      </c>
      <c r="AE3" s="98">
        <f>AA3-Y3</f>
        <v>604500</v>
      </c>
      <c r="AF3" s="99">
        <f>AV3</f>
        <v>1.52</v>
      </c>
      <c r="AG3" s="100">
        <f>((AW3-AV3)+(AX3-AW3))/2</f>
        <v>-7.0000000000000062E-2</v>
      </c>
      <c r="AH3" s="62"/>
      <c r="AI3" s="100">
        <f>RSQ(AV3:AX3,AV2:AX2)</f>
        <v>0.17898461536158486</v>
      </c>
      <c r="AJ3" s="105">
        <f>SLOPE(AV3:AX3,AV2:AX2)</f>
        <v>-1.5128897276643822E-7</v>
      </c>
      <c r="AK3" s="100">
        <f>INTERCEPT(AV3:AX3,AV2:AX2)</f>
        <v>1.4392292306383376</v>
      </c>
      <c r="AL3" s="100">
        <f>INDEX(LINEST(LN(AV3:AX3),LN(AV2:AX2),TRUE,TRUE),3,1)</f>
        <v>0.73364435699807629</v>
      </c>
      <c r="AM3" s="100">
        <f>INDEX(LINEST(LN(AV3:AX3),LN(AV2:AX2)),1)</f>
        <v>-1.6564050588993136E-2</v>
      </c>
      <c r="AN3" s="100">
        <f>EXP(INDEX(LINEST(LN(AV3:AX3),LN(AV2:AX2)),1,2))</f>
        <v>1.6585924316232432</v>
      </c>
      <c r="AO3" s="104">
        <f>INDEX(LINEST((AV3:AX3),LN(AV2:AX2),TRUE,TRUE),3,1)</f>
        <v>0.75175730569789856</v>
      </c>
      <c r="AP3" s="104">
        <f>INDEX(LINEST((AV3:AX3),LN(AV2:AX2)),1)</f>
        <v>-2.3665728537810529E-2</v>
      </c>
      <c r="AQ3" s="48">
        <f>INDEX(LINEST(LN(AV3:AX3),SQRT(AV2:AX2),TRUE,TRUE),3,1)</f>
        <v>0.40191031156365464</v>
      </c>
      <c r="AR3" s="56">
        <f>INDEX(LINEST(LN(AV3:AX3),SQRT((AV2:AX2))),1)</f>
        <v>-1.3150991215941414E-4</v>
      </c>
      <c r="AS3" s="49">
        <f>INDEX(LINEST(1/(AV3:AX3),1/(SQRT(AV2:AX2)),TRUE,TRUE),3,1)</f>
        <v>0.82879698048768202</v>
      </c>
      <c r="AT3" s="49">
        <f>INDEX(LINEST(1/(AV3:AX3),1/SQRT(AV2:AX2)),1)</f>
        <v>-1.5806753237635172</v>
      </c>
      <c r="AU3" s="63"/>
      <c r="AV3" s="108">
        <v>1.52</v>
      </c>
      <c r="AW3" s="108">
        <v>1.3</v>
      </c>
      <c r="AX3" s="108">
        <v>1.38</v>
      </c>
      <c r="AY3" s="108"/>
      <c r="AZ3" s="108"/>
      <c r="BA3" s="108"/>
      <c r="BB3" s="108"/>
      <c r="BC3" s="108"/>
      <c r="BD3" s="108"/>
      <c r="BE3" s="108"/>
      <c r="BF3" s="108"/>
      <c r="BG3" s="108"/>
      <c r="BH3" s="108"/>
      <c r="BI3" s="108"/>
      <c r="BJ3" s="108"/>
      <c r="BK3" s="108"/>
      <c r="BL3" s="93"/>
      <c r="BM3" s="93"/>
      <c r="BN3" s="93"/>
      <c r="BO3" s="93"/>
      <c r="BP3" s="93"/>
      <c r="BQ3" s="93"/>
      <c r="BR3" s="93"/>
      <c r="BS3" s="93"/>
      <c r="BT3" s="93"/>
      <c r="BU3" s="93"/>
      <c r="BV3" s="93"/>
      <c r="BW3" s="93"/>
      <c r="BX3" s="93"/>
      <c r="BY3" s="93"/>
      <c r="BZ3" s="93"/>
      <c r="CA3" s="93"/>
      <c r="CB3" s="93"/>
      <c r="CC3" s="93"/>
      <c r="CD3" s="93"/>
      <c r="CE3" s="93"/>
      <c r="CF3" s="93"/>
      <c r="CG3" s="93"/>
      <c r="CH3" s="93"/>
      <c r="CI3" s="93"/>
      <c r="CJ3" s="93"/>
      <c r="CK3" s="93"/>
      <c r="CL3" s="93"/>
      <c r="CM3" s="93"/>
      <c r="CN3" s="93"/>
      <c r="CO3" s="93"/>
      <c r="CP3" s="93"/>
      <c r="CQ3" s="93"/>
      <c r="CR3" s="92"/>
      <c r="CS3" s="92"/>
      <c r="CT3" s="92"/>
      <c r="CU3" s="92"/>
    </row>
    <row r="4" spans="1:99" s="68" customFormat="1" ht="12" customHeight="1" x14ac:dyDescent="0.2">
      <c r="A4" s="94">
        <v>43509</v>
      </c>
      <c r="B4" s="95"/>
      <c r="C4" s="95"/>
      <c r="D4" s="96"/>
      <c r="E4" s="97"/>
      <c r="F4" s="96"/>
      <c r="G4" s="96"/>
      <c r="H4" s="96"/>
      <c r="I4" s="96"/>
      <c r="J4" s="96"/>
      <c r="K4" s="77"/>
      <c r="L4" s="96"/>
      <c r="M4" s="96"/>
      <c r="N4" s="96"/>
      <c r="O4" s="96"/>
      <c r="P4" s="96"/>
      <c r="Q4" s="96"/>
      <c r="R4" s="77"/>
      <c r="S4" s="96"/>
      <c r="T4" s="77"/>
      <c r="U4" s="32"/>
      <c r="V4" s="96"/>
      <c r="W4" s="77"/>
      <c r="X4" s="96"/>
      <c r="Y4" s="98"/>
      <c r="Z4" s="96"/>
      <c r="AA4" s="96"/>
      <c r="AB4" s="77"/>
      <c r="AC4" s="77"/>
      <c r="AD4" s="77"/>
      <c r="AE4" s="77"/>
      <c r="AF4" s="99"/>
      <c r="AG4" s="100"/>
      <c r="AH4" s="84"/>
      <c r="AI4" s="49"/>
      <c r="AJ4" s="56"/>
      <c r="AK4" s="49"/>
      <c r="AL4" s="49"/>
      <c r="AM4" s="49"/>
      <c r="AN4" s="49"/>
      <c r="AO4" s="49"/>
      <c r="AP4" s="49"/>
      <c r="AQ4" s="49"/>
      <c r="AR4" s="56"/>
      <c r="AS4" s="49"/>
      <c r="AT4" s="49"/>
      <c r="AU4" s="62"/>
      <c r="AV4" s="107">
        <f>5*60</f>
        <v>300</v>
      </c>
      <c r="AW4" s="107">
        <f>2*24*3600</f>
        <v>172800</v>
      </c>
      <c r="AX4" s="107">
        <f>7*24*3600</f>
        <v>604800</v>
      </c>
      <c r="AY4" s="108"/>
      <c r="AZ4" s="108"/>
      <c r="BA4" s="108"/>
      <c r="BB4" s="108"/>
      <c r="BC4" s="108"/>
      <c r="BD4" s="108"/>
      <c r="BE4" s="108"/>
      <c r="BF4" s="108"/>
      <c r="BG4" s="108"/>
      <c r="BH4" s="108"/>
      <c r="BI4" s="108"/>
      <c r="BJ4" s="108"/>
      <c r="BK4" s="108"/>
      <c r="BL4" s="93"/>
      <c r="BM4" s="93"/>
      <c r="BN4" s="93"/>
      <c r="BO4" s="93"/>
      <c r="BP4" s="93"/>
      <c r="BQ4" s="93"/>
      <c r="BR4" s="93"/>
      <c r="BS4" s="93"/>
      <c r="BT4" s="93"/>
      <c r="BU4" s="93"/>
      <c r="BV4" s="93"/>
      <c r="BW4" s="93"/>
      <c r="BX4" s="93"/>
      <c r="BY4" s="93"/>
      <c r="BZ4" s="93"/>
      <c r="CA4" s="93"/>
      <c r="CB4" s="93"/>
      <c r="CC4" s="93"/>
      <c r="CD4" s="93"/>
      <c r="CE4" s="93"/>
      <c r="CF4" s="93"/>
      <c r="CG4" s="93"/>
      <c r="CH4" s="93"/>
      <c r="CI4" s="93"/>
      <c r="CJ4" s="93"/>
      <c r="CK4" s="93"/>
      <c r="CL4" s="93"/>
      <c r="CM4" s="93"/>
      <c r="CN4" s="93"/>
      <c r="CO4" s="93"/>
      <c r="CP4" s="93"/>
      <c r="CQ4" s="93"/>
      <c r="CR4" s="92"/>
      <c r="CS4" s="92"/>
      <c r="CT4" s="92"/>
      <c r="CU4" s="92"/>
    </row>
    <row r="5" spans="1:99" s="68" customFormat="1" ht="12" customHeight="1" x14ac:dyDescent="0.2">
      <c r="A5" s="94">
        <v>43509</v>
      </c>
      <c r="B5" s="95" t="s">
        <v>192</v>
      </c>
      <c r="C5" s="95" t="s">
        <v>193</v>
      </c>
      <c r="D5" s="96">
        <v>1982</v>
      </c>
      <c r="E5" s="97">
        <v>1</v>
      </c>
      <c r="F5" s="96">
        <v>237</v>
      </c>
      <c r="G5" s="96">
        <v>10</v>
      </c>
      <c r="H5" s="96" t="s">
        <v>28</v>
      </c>
      <c r="I5" s="96" t="s">
        <v>197</v>
      </c>
      <c r="J5" s="96" t="s">
        <v>88</v>
      </c>
      <c r="K5" s="77" t="str">
        <f>IF(J5="syllables","1",IF(J5="trigrams","2",IF(J5="trigram-word pairs","3",IF(J5="visual array","4",IF(J5="characters","5",IF(J5="letters","6",IF(J5="free forms","7",IF(J5="odors","8",IF(J5="words","9",IF(J5="pictures","10",IF(J5="object pictures","11",IF(J5="faces","12",IF(J5="names","13",IF(J5="syllable-digit pairs","14",IF(J5="word-digit pairs","15",IF(J5="English-Swahili pairs","16",IF(J5="word pairs","17",IF(J5="word triads","18",IF(J5="generated words","19",IF(J5="word definition pairs","20",IF(J5="math problems","21",IF(J5="sentences","22",IF(J5="idioms","23",IF(J5="concepts","24",IF(J5="ad slides","25",IF(J5="scenes","26",IF(J5="poems","27",IF(J5="walk","28",IF(J5="flashbulb","29",IF(J5="stories","30",IF(J5="course material","31",IF(J5="grades","32",IF(J5="autobiographical","33",IF(J5="novels","34",IF(J5="spatial position","35",IF(J5="famous faces","36",IF(J5="famous names","37",IF(J5="famous voices","38",IF(J5="famous scenes","39",IF(J5="public events","40",IF(J5="faces and events","41",IF(J5="events and names","42",IF(J5="television programs","43",IF(J5="race horses","44",IF(J5="new vocabulary","45",IF(J5="order","90","99"))))))))))))))))))))))))))))))))))))))))))))))</f>
        <v>12</v>
      </c>
      <c r="L5" s="96">
        <v>2</v>
      </c>
      <c r="M5" s="96" t="s">
        <v>195</v>
      </c>
      <c r="N5" s="96">
        <v>1</v>
      </c>
      <c r="O5" s="96" t="s">
        <v>195</v>
      </c>
      <c r="P5" s="96"/>
      <c r="Q5" s="96" t="s">
        <v>18</v>
      </c>
      <c r="R5" s="77" t="str">
        <f>IF(Q5="Free Recall","1",IF(Q5="Cued Recall","2",IF(Q5="Recognition","3",IF(Q5="Multiple Choice","4",IF(Q5="Savings","5",IF(Q5="Stem Completion","6",IF(Q5="Fragment Completion","7",IF(Q5="anagram solution","8",IF(Q5="Matching","9",IF(Q5="Problem Solving","10","99"))))))))))</f>
        <v>3</v>
      </c>
      <c r="S5" s="96" t="s">
        <v>196</v>
      </c>
      <c r="T5" s="77" t="s">
        <v>72</v>
      </c>
      <c r="U5" s="32">
        <f>IF(T5="within",1,0)</f>
        <v>0</v>
      </c>
      <c r="V5" s="96">
        <v>12</v>
      </c>
      <c r="W5" s="77">
        <f>F5*V5</f>
        <v>2844</v>
      </c>
      <c r="X5" s="96">
        <v>3</v>
      </c>
      <c r="Y5" s="98">
        <f>AV4</f>
        <v>300</v>
      </c>
      <c r="Z5" s="96" t="s">
        <v>41</v>
      </c>
      <c r="AA5" s="96">
        <f>7*24*3600</f>
        <v>604800</v>
      </c>
      <c r="AB5" s="77" t="str">
        <f>IF(AA5&lt;60,"1",IF(AA5&lt;=43200,"2",IF(AA5&lt;=777600,"3","4")))</f>
        <v>3</v>
      </c>
      <c r="AC5" s="100">
        <f>AVERAGE(AV4:DA4)</f>
        <v>259300</v>
      </c>
      <c r="AD5" s="77" t="str">
        <f>IF(AC5&lt;60,"1",IF(AC5&lt;=43200,"2",IF(AC5&lt;=777600,"3","4")))</f>
        <v>3</v>
      </c>
      <c r="AE5" s="98">
        <f>AA5-Y5</f>
        <v>604500</v>
      </c>
      <c r="AF5" s="99">
        <f>AV5</f>
        <v>1.41</v>
      </c>
      <c r="AG5" s="100">
        <f>((AW5-AV5)+(AX5-AW5))/2</f>
        <v>-0.26499999999999996</v>
      </c>
      <c r="AH5" s="84"/>
      <c r="AI5" s="100">
        <f>RSQ(AV5:AX5,AV4:AX4)</f>
        <v>0.85990885663636107</v>
      </c>
      <c r="AJ5" s="105">
        <f>SLOPE(AV5:AX5,AV4:AX4)</f>
        <v>-7.9702578461173544E-7</v>
      </c>
      <c r="AK5" s="100">
        <f>INTERCEPT(AV5:AX5,AV4:AX4)</f>
        <v>1.3300021192831564</v>
      </c>
      <c r="AL5" s="100">
        <f>INDEX(LINEST(LN(AV5:AX5),LN(AV4:AX4),TRUE,TRUE),3,1)</f>
        <v>0.91609823248729216</v>
      </c>
      <c r="AM5" s="100">
        <f>INDEX(LINEST(LN(AV5:AX5),LN(AV4:AX4)),1)</f>
        <v>-5.5457948701854352E-2</v>
      </c>
      <c r="AN5" s="100">
        <f>EXP(INDEX(LINEST(LN(AV5:AX5),LN(AV4:AX4)),1,2))</f>
        <v>1.9582454304301427</v>
      </c>
      <c r="AO5" s="104">
        <f>INDEX(LINEST((AV5:AX5),LN(AV4:AX4),TRUE,TRUE),3,1)</f>
        <v>0.94856888179893706</v>
      </c>
      <c r="AP5" s="104">
        <f>INDEX(LINEST((AV5:AX5),LN(AV4:AX4)),1)</f>
        <v>-6.3894315861153031E-2</v>
      </c>
      <c r="AQ5" s="48">
        <f>INDEX(LINEST(LN(AV5:AX5),SQRT(AV4:AX4),TRUE,TRUE),3,1)</f>
        <v>0.99770051919906433</v>
      </c>
      <c r="AR5" s="56">
        <f>INDEX(LINEST(LN(AV5:AX5),SQRT((AV4:AX4))),1)</f>
        <v>-6.2081618972226367E-4</v>
      </c>
      <c r="AS5" s="49">
        <f>INDEX(LINEST(1/(AV5:AX5),1/(SQRT(AV4:AX4)),TRUE,TRUE),3,1)</f>
        <v>0.77201915301411728</v>
      </c>
      <c r="AT5" s="49">
        <f>INDEX(LINEST(1/(AV5:AX5),1/SQRT(AV4:AX4)),1)</f>
        <v>-5.8148757091808729</v>
      </c>
      <c r="AU5" s="63"/>
      <c r="AV5" s="108">
        <v>1.41</v>
      </c>
      <c r="AW5" s="108">
        <v>1.08</v>
      </c>
      <c r="AX5" s="108">
        <v>0.88</v>
      </c>
      <c r="AY5" s="108"/>
      <c r="AZ5" s="108"/>
      <c r="BA5" s="108"/>
      <c r="BB5" s="108"/>
      <c r="BC5" s="108"/>
      <c r="BD5" s="108"/>
      <c r="BE5" s="108"/>
      <c r="BF5" s="108"/>
      <c r="BG5" s="108"/>
      <c r="BH5" s="108"/>
      <c r="BI5" s="108"/>
      <c r="BJ5" s="108"/>
      <c r="BK5" s="108"/>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2"/>
      <c r="CS5" s="92"/>
      <c r="CT5" s="92"/>
      <c r="CU5" s="92"/>
    </row>
    <row r="6" spans="1:99" s="9" customFormat="1" ht="12" customHeight="1" x14ac:dyDescent="0.2">
      <c r="A6" s="37">
        <v>43509</v>
      </c>
      <c r="B6" s="1"/>
      <c r="C6" s="1"/>
      <c r="D6" s="32"/>
      <c r="E6" s="41"/>
      <c r="F6" s="32"/>
      <c r="G6" s="32"/>
      <c r="H6" s="32"/>
      <c r="I6" s="32"/>
      <c r="J6" s="32"/>
      <c r="K6" s="36"/>
      <c r="L6" s="36"/>
      <c r="M6" s="32"/>
      <c r="N6" s="32"/>
      <c r="O6" s="32"/>
      <c r="P6" s="32"/>
      <c r="Q6" s="32"/>
      <c r="R6" s="32"/>
      <c r="S6" s="32"/>
      <c r="T6" s="32"/>
      <c r="U6" s="32"/>
      <c r="V6" s="32"/>
      <c r="W6" s="32"/>
      <c r="X6" s="32"/>
      <c r="Y6" s="41"/>
      <c r="Z6" s="32"/>
      <c r="AA6" s="32"/>
      <c r="AB6" s="32"/>
      <c r="AC6" s="32"/>
      <c r="AD6" s="32"/>
      <c r="AE6" s="32"/>
      <c r="AF6" s="45"/>
      <c r="AG6" s="28"/>
      <c r="AH6" s="4"/>
      <c r="AI6" s="28"/>
      <c r="AJ6" s="51"/>
      <c r="AK6" s="28"/>
      <c r="AL6" s="28"/>
      <c r="AM6" s="28"/>
      <c r="AN6" s="28"/>
      <c r="AO6" s="28"/>
      <c r="AP6" s="28"/>
      <c r="AQ6" s="47"/>
      <c r="AR6" s="55"/>
      <c r="AS6" s="47"/>
      <c r="AT6" s="47"/>
      <c r="AU6" s="3"/>
      <c r="AV6" s="18">
        <v>0.5</v>
      </c>
      <c r="AW6" s="18">
        <v>7.5</v>
      </c>
      <c r="AX6" s="18">
        <v>15</v>
      </c>
      <c r="AY6" s="18">
        <v>22.5</v>
      </c>
      <c r="AZ6" s="18">
        <v>30</v>
      </c>
      <c r="BA6" s="18">
        <v>37.5</v>
      </c>
      <c r="BB6" s="18">
        <v>45</v>
      </c>
      <c r="BC6" s="18">
        <v>60</v>
      </c>
      <c r="BD6" s="18">
        <v>120</v>
      </c>
      <c r="BE6" s="18">
        <v>240</v>
      </c>
      <c r="BF6" s="18">
        <v>360</v>
      </c>
      <c r="BG6" s="18">
        <v>720</v>
      </c>
      <c r="BH6" s="18">
        <v>1500</v>
      </c>
      <c r="BI6" s="18">
        <v>3600</v>
      </c>
      <c r="BJ6" s="18">
        <v>7200</v>
      </c>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1"/>
      <c r="CS6" s="1"/>
      <c r="CT6" s="1"/>
      <c r="CU6" s="1"/>
    </row>
    <row r="7" spans="1:99" s="15" customFormat="1" ht="12" customHeight="1" x14ac:dyDescent="0.2">
      <c r="A7" s="37">
        <v>43509</v>
      </c>
      <c r="B7" s="13" t="s">
        <v>71</v>
      </c>
      <c r="C7" s="13" t="s">
        <v>34</v>
      </c>
      <c r="D7" s="34">
        <v>1974</v>
      </c>
      <c r="E7" s="43">
        <v>1</v>
      </c>
      <c r="F7" s="34">
        <v>7</v>
      </c>
      <c r="G7" s="34">
        <v>7</v>
      </c>
      <c r="H7" s="34" t="s">
        <v>15</v>
      </c>
      <c r="I7" s="34" t="s">
        <v>189</v>
      </c>
      <c r="J7" s="34" t="s">
        <v>109</v>
      </c>
      <c r="K7" s="32">
        <f>IF(J7="syllables",1,IF(J7="trigrams",2,IF(J7="strings",3,IF(J7="visual array",4,IF(J7="characters",5,IF(J7="letters",6,IF(J7="free forms",7,IF(J7="odors",8,IF(J7="words",9,IF(J7="pictures",10,IF(J7="object pictures",11,IF(J7="faces",12,IF(J7="names",13,IF(J7="idioms",14,IF(J7="grades",15,IF(J7="syllable-digit pairs",16,IF(J7="trigram-word pairs",17,IF(J7="word-digit pairs",18,IF(J7="English-Swahili pairs",19,IF(J7="spatial position",20,IF(J7="word pairs",21,IF(J7="word triads",22,IF(J7="generated words",23,IF(J7="word definition pairs",24,IF(J7="math problems",25,IF(J7="famous faces",26,IF(J7="famous names",27,IF(J7="famous voices",28,IF(J7="television programs",29,IF(J7="race horses",30,IF(J7="new vocabulary",31,IF(J7="sentences",32,IF(J7="concepts",33,IF(J7="ad slides",34,IF(J7="scenes",35,IF(J7="famous scenes",36,IF(J7="poems",37,IF(J7="walk",38,IF(J7="faces and events",39,IF(J7="events and names",40,IF(J7="flashbulb",41,IF(J7="stories",42,IF(J7="course material",43,IF(J7="autobiographical",44,IF(J7="novels",45,IF(J7="public events",46,"99"))))))))))))))))))))))))))))))))))))))))))))))</f>
        <v>32</v>
      </c>
      <c r="L7" s="32">
        <f>IF(J7="syllables",1,IF(J7="trigrams",1,IF(J7="strings",1,IF(J7="visual array",1,IF(J7="characters",1,IF(J7="letters",1,IF(J7="free forms",1,IF(J7="odors",2,IF(J7="words",2,IF(J7="pictures",2,IF(J7="object pictures",2,IF(J7="faces",2,IF(J7="names",2,IF(J7="idioms","2",IF(J7="grades",2,IF(J7="syllable-digit pairs",3,IF(J7="trigram-word pairs",3,IF(J7="word-digit pairs",3,IF(J7="English-Swahili pairs",3,IF(J7="spatial position",3,IF(J7="word pairs",4,IF(J7="word triads",4,IF(J7="generated words",4,IF(J7="word definition pairs",4,IF(J7="math problems",4,IF(J7="famous faces",4,IF(J7="famous names",4,IF(J7="famous voices",4,IF(J7="television programs",4,IF(J7="race horses",4,IF(J7="new vocabulary",4,IF(J7="sentences",5,IF(J7="concepts",5,IF(J7="ad slides",5,IF(J7="scenes",5,IF(J7="famous scenes",5,IF(J7="poems",6,IF(J7="walk",6,IF(J7="faces and events",6,IF(J7="events and names",6,IF(J7="flashbulb",7,IF(J7="stories",7,IF(J7="course material",7,IF(J7="autobiographical",7,IF(J7="novels",7,IF(J7="public events",7,"99"))))))))))))))))))))))))))))))))))))))))))))))</f>
        <v>5</v>
      </c>
      <c r="M7" s="34">
        <v>0</v>
      </c>
      <c r="N7" s="34">
        <v>2</v>
      </c>
      <c r="O7" s="34">
        <v>0</v>
      </c>
      <c r="P7" s="34"/>
      <c r="Q7" s="34" t="s">
        <v>18</v>
      </c>
      <c r="R7" s="32">
        <f>IF(Q7="Free Recall",1,IF(Q7="Cued Recall",2,IF(Q7="Recognition",3,IF(Q7="Multiple Choice",4,IF(Q7="Savings",5,IF(Q7="Stem Completion",6,IF(Q7="Fragment Completion",7,IF(Q7="anagram solution",8,IF(Q7="Matching",9,IF(Q7="Problem Solving",10,"99"))))))))))</f>
        <v>3</v>
      </c>
      <c r="S7" s="96" t="s">
        <v>196</v>
      </c>
      <c r="T7" s="31" t="s">
        <v>132</v>
      </c>
      <c r="U7" s="32">
        <f>IF(T7="within",1,0)</f>
        <v>1</v>
      </c>
      <c r="V7" s="31">
        <v>900</v>
      </c>
      <c r="W7" s="32">
        <f>F7*V7</f>
        <v>6300</v>
      </c>
      <c r="X7" s="34">
        <v>15</v>
      </c>
      <c r="Y7" s="41">
        <f>AV6</f>
        <v>0.5</v>
      </c>
      <c r="Z7" s="34" t="s">
        <v>35</v>
      </c>
      <c r="AA7" s="34">
        <v>7200</v>
      </c>
      <c r="AB7" s="32" t="str">
        <f>IF(AA7&lt;60,"1",IF(AA7&lt;=43200,"2",IF(AA7&lt;=777600,"3","4")))</f>
        <v>2</v>
      </c>
      <c r="AC7" s="28">
        <f>AVERAGE(AV6:DA6)</f>
        <v>930.5333333333333</v>
      </c>
      <c r="AD7" s="32" t="str">
        <f>IF(AC7&lt;60,"1",IF(AC7&lt;=43200,"2",IF(AC7&lt;=777600,"3","4")))</f>
        <v>2</v>
      </c>
      <c r="AE7" s="41">
        <f>AA7-Y7</f>
        <v>7199.5</v>
      </c>
      <c r="AF7" s="45">
        <f>AV7</f>
        <v>2.6866231258542359</v>
      </c>
      <c r="AG7" s="28">
        <f>((AW7-AV7)+(AX7-AW7)+(AY7-AX7)+(AZ7-AY7)+(BA7-AZ7)+(BB7-BA7)+(BC7-BB7)+(BD7-BC7)+(BE7-BD7)+(BF7-BE7)+(BG7-BF7)+(BH7-BG7)+(BI7-BH7)+(BJ7-BI7))/14</f>
        <v>-0.16836633726562997</v>
      </c>
      <c r="AH7" s="4"/>
      <c r="AI7" s="28">
        <f>RSQ(AV7:BJ7,AV6:BJ6)</f>
        <v>0.50412845395780637</v>
      </c>
      <c r="AJ7" s="51">
        <f>SLOPE(AV7:BJ7,AV6:BJ6)</f>
        <v>-2.1076564558347407E-4</v>
      </c>
      <c r="AK7" s="28">
        <f>INTERCEPT(AV7:BJ7,AV6:BJ6)</f>
        <v>1.5979654068505358</v>
      </c>
      <c r="AL7" s="28">
        <f>INDEX(LINEST(LN(AV7:BJ7),LN(AV6:BJ6),TRUE,TRUE),3,1)</f>
        <v>0.86198481039553665</v>
      </c>
      <c r="AM7" s="28">
        <f>INDEX(LINEST(LN(AV7:BJ7),LN(AV6:BJ6)),1)</f>
        <v>-0.19137156216957774</v>
      </c>
      <c r="AN7" s="28">
        <f>EXP(INDEX(LINEST(LN(AV7:BJ7),LN(AV6:BJ6)),1,2))</f>
        <v>3.050682193511228</v>
      </c>
      <c r="AO7" s="47">
        <f>INDEX(LINEST((AV7:BJ7),LN(AV6:BJ6),TRUE,TRUE),3,1)</f>
        <v>0.96006869078721535</v>
      </c>
      <c r="AP7" s="47">
        <f>INDEX(LINEST((AV7:BJ7),LN(AV6:BJ6)),1)</f>
        <v>-0.22857436326203776</v>
      </c>
      <c r="AQ7" s="48">
        <f>INDEX(LINEST(LN(AV7:BJ7),SQRT(AV6:BJ6),TRUE,TRUE),3,1)</f>
        <v>0.89961839794464549</v>
      </c>
      <c r="AR7" s="56">
        <f>INDEX(LINEST(LN(AV7:BJ7),SQRT((AV6:BJ6))),1)</f>
        <v>-2.0338651292979393E-2</v>
      </c>
      <c r="AS7" s="49">
        <f>INDEX(LINEST(1/(AV7:BJ7),1/(SQRT(AV6:BJ6)),TRUE,TRUE),3,1)</f>
        <v>0.15275567788847838</v>
      </c>
      <c r="AT7" s="49">
        <f>INDEX(LINEST(1/(AV7:BJ7),1/SQRT(AV6:BJ6)),1)</f>
        <v>-0.73748528109647826</v>
      </c>
      <c r="AU7" s="3"/>
      <c r="AV7" s="14">
        <v>2.6866231258542359</v>
      </c>
      <c r="AW7" s="14">
        <v>1.8008791302279903</v>
      </c>
      <c r="AX7" s="14">
        <v>1.8695303409890081</v>
      </c>
      <c r="AY7" s="14">
        <v>1.7195175286241431</v>
      </c>
      <c r="AZ7" s="14">
        <v>1.8008791302279903</v>
      </c>
      <c r="BA7" s="14">
        <v>1.4244627408441308</v>
      </c>
      <c r="BB7" s="14">
        <v>1.5804680827581286</v>
      </c>
      <c r="BC7" s="14">
        <v>1.6167431442364424</v>
      </c>
      <c r="BD7" s="14">
        <v>1.5479237964130017</v>
      </c>
      <c r="BE7" s="14">
        <v>1.1988902629041227</v>
      </c>
      <c r="BF7" s="14">
        <v>1.1110442045074254</v>
      </c>
      <c r="BG7" s="14">
        <v>0.83618861040701609</v>
      </c>
      <c r="BH7" s="14">
        <v>0.76378220651340478</v>
      </c>
      <c r="BI7" s="14">
        <v>0.7411875130614447</v>
      </c>
      <c r="BJ7" s="14">
        <v>0.32949440413541653</v>
      </c>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3"/>
      <c r="CS7" s="13"/>
      <c r="CT7" s="13"/>
      <c r="CU7" s="13"/>
    </row>
    <row r="8" spans="1:99" ht="12" customHeight="1" x14ac:dyDescent="0.2">
      <c r="A8" s="37">
        <v>43509</v>
      </c>
      <c r="B8" s="11"/>
      <c r="C8" s="11"/>
      <c r="D8" s="31"/>
      <c r="E8" s="40"/>
      <c r="F8" s="31"/>
      <c r="G8" s="31"/>
      <c r="H8" s="31"/>
      <c r="I8" s="31"/>
      <c r="J8" s="31"/>
      <c r="M8" s="31"/>
      <c r="N8" s="31"/>
      <c r="O8" s="31"/>
      <c r="P8" s="31"/>
      <c r="Q8" s="31"/>
      <c r="R8" s="32"/>
      <c r="S8" s="31"/>
      <c r="T8" s="31"/>
      <c r="U8" s="32"/>
      <c r="V8" s="31"/>
      <c r="W8" s="32"/>
      <c r="X8" s="31"/>
      <c r="Y8" s="41"/>
      <c r="Z8" s="31"/>
      <c r="AA8" s="31"/>
      <c r="AB8" s="32"/>
      <c r="AC8" s="32"/>
      <c r="AD8" s="32"/>
      <c r="AE8" s="32"/>
      <c r="AF8" s="45"/>
      <c r="AG8" s="28"/>
      <c r="AH8" s="4"/>
      <c r="AI8" s="27"/>
      <c r="AJ8" s="52"/>
      <c r="AK8" s="27"/>
      <c r="AL8" s="27"/>
      <c r="AM8" s="27"/>
      <c r="AN8" s="27"/>
      <c r="AO8" s="27"/>
      <c r="AP8" s="27"/>
      <c r="AQ8" s="27"/>
      <c r="AR8" s="52"/>
      <c r="AS8" s="27"/>
      <c r="AT8" s="27"/>
      <c r="AU8" s="3"/>
      <c r="AV8" s="24">
        <v>300</v>
      </c>
      <c r="AW8" s="24">
        <f>2*24*3600</f>
        <v>172800</v>
      </c>
      <c r="AX8" s="24">
        <f>7*24*3600</f>
        <v>604800</v>
      </c>
      <c r="AY8" s="7" t="s">
        <v>111</v>
      </c>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11"/>
      <c r="CS8" s="11"/>
      <c r="CT8" s="11"/>
      <c r="CU8" s="11"/>
    </row>
    <row r="9" spans="1:99" ht="12" customHeight="1" x14ac:dyDescent="0.2">
      <c r="A9" s="37">
        <v>43509</v>
      </c>
      <c r="B9" s="10" t="s">
        <v>73</v>
      </c>
      <c r="C9" s="11" t="s">
        <v>36</v>
      </c>
      <c r="D9" s="31">
        <v>1987</v>
      </c>
      <c r="E9" s="40">
        <v>1</v>
      </c>
      <c r="F9" s="31">
        <v>59</v>
      </c>
      <c r="G9" s="31">
        <v>19.7</v>
      </c>
      <c r="H9" s="31" t="s">
        <v>14</v>
      </c>
      <c r="I9" s="31"/>
      <c r="J9" s="31" t="s">
        <v>60</v>
      </c>
      <c r="K9" s="32">
        <f>IF(J9="syllables",1,IF(J9="trigrams",2,IF(J9="strings",3,IF(J9="visual array",4,IF(J9="characters",5,IF(J9="letters",6,IF(J9="free forms",7,IF(J9="odors",8,IF(J9="words",9,IF(J9="pictures",10,IF(J9="object pictures",11,IF(J9="faces",12,IF(J9="names",13,IF(J9="idioms",14,IF(J9="grades",15,IF(J9="syllable-digit pairs",16,IF(J9="trigram-word pairs",17,IF(J9="word-digit pairs",18,IF(J9="English-Swahili pairs",19,IF(J9="spatial position",20,IF(J9="word pairs",21,IF(J9="word triads",22,IF(J9="generated words",23,IF(J9="word definition pairs",24,IF(J9="math problems",25,IF(J9="famous faces",26,IF(J9="famous names",27,IF(J9="famous voices",28,IF(J9="television programs",29,IF(J9="race horses",30,IF(J9="new vocabulary",31,IF(J9="sentences",32,IF(J9="concepts",33,IF(J9="ad slides",34,IF(J9="scenes",35,IF(J9="famous scenes",36,IF(J9="poems",37,IF(J9="walk",38,IF(J9="faces and events",39,IF(J9="events and names",40,IF(J9="flashbulb",41,IF(J9="stories",42,IF(J9="course material",43,IF(J9="autobiographical",44,IF(J9="novels",45,IF(J9="public events",46,"99"))))))))))))))))))))))))))))))))))))))))))))))</f>
        <v>12</v>
      </c>
      <c r="L9" s="32">
        <f>IF(J9="syllables",1,IF(J9="trigrams",1,IF(J9="strings",1,IF(J9="visual array",1,IF(J9="characters",1,IF(J9="letters",1,IF(J9="free forms",1,IF(J9="odors",2,IF(J9="words",2,IF(J9="pictures",2,IF(J9="object pictures",2,IF(J9="faces",2,IF(J9="names",2,IF(J9="idioms","2",IF(J9="grades",2,IF(J9="syllable-digit pairs",3,IF(J9="trigram-word pairs",3,IF(J9="word-digit pairs",3,IF(J9="English-Swahili pairs",3,IF(J9="spatial position",3,IF(J9="word pairs",4,IF(J9="word triads",4,IF(J9="generated words",4,IF(J9="word definition pairs",4,IF(J9="math problems",4,IF(J9="famous faces",4,IF(J9="famous names",4,IF(J9="famous voices",4,IF(J9="television programs",4,IF(J9="race horses",4,IF(J9="new vocabulary",4,IF(J9="sentences",5,IF(J9="concepts",5,IF(J9="ad slides",5,IF(J9="scenes",5,IF(J9="famous scenes",5,IF(J9="poems",6,IF(J9="walk",6,IF(J9="faces and events",6,IF(J9="events and names",6,IF(J9="flashbulb",7,IF(J9="stories",7,IF(J9="course material",7,IF(J9="autobiographical",7,IF(J9="novels",7,IF(J9="public events",7,"99"))))))))))))))))))))))))))))))))))))))))))))))</f>
        <v>2</v>
      </c>
      <c r="M9" s="31">
        <v>0</v>
      </c>
      <c r="N9" s="31">
        <v>1</v>
      </c>
      <c r="O9" s="31">
        <v>0</v>
      </c>
      <c r="P9" s="31"/>
      <c r="Q9" s="31" t="s">
        <v>18</v>
      </c>
      <c r="R9" s="32">
        <f>IF(Q9="Free Recall",1,IF(Q9="Cued Recall",2,IF(Q9="Recognition",3,IF(Q9="Multiple Choice",4,IF(Q9="Savings",5,IF(Q9="Stem Completion",6,IF(Q9="Fragment Completion",7,IF(Q9="anagram solution",8,IF(Q9="Matching",9,IF(Q9="Problem Solving",10,"99"))))))))))</f>
        <v>3</v>
      </c>
      <c r="S9" s="31" t="s">
        <v>196</v>
      </c>
      <c r="T9" s="31" t="s">
        <v>72</v>
      </c>
      <c r="U9" s="32">
        <f>IF(T9="within",1,0)</f>
        <v>0</v>
      </c>
      <c r="V9" s="31">
        <v>32</v>
      </c>
      <c r="W9" s="32">
        <f>F9*V9</f>
        <v>1888</v>
      </c>
      <c r="X9" s="31">
        <v>3</v>
      </c>
      <c r="Y9" s="41">
        <f>AV8</f>
        <v>300</v>
      </c>
      <c r="Z9" s="31" t="s">
        <v>41</v>
      </c>
      <c r="AA9" s="31">
        <f>7*24*3600</f>
        <v>604800</v>
      </c>
      <c r="AB9" s="32" t="str">
        <f>IF(AA9&lt;60,"1",IF(AA9&lt;=43200,"2",IF(AA9&lt;=777600,"3","4")))</f>
        <v>3</v>
      </c>
      <c r="AC9" s="28">
        <f>AVERAGE(AV8:DA8)</f>
        <v>259300</v>
      </c>
      <c r="AD9" s="32" t="str">
        <f>IF(AC9&lt;60,"1",IF(AC9&lt;=43200,"2",IF(AC9&lt;=777600,"3","4")))</f>
        <v>3</v>
      </c>
      <c r="AE9" s="41">
        <f>AA9-Y9</f>
        <v>604500</v>
      </c>
      <c r="AF9" s="45">
        <f>AV9</f>
        <v>1.728962201966135</v>
      </c>
      <c r="AG9" s="28">
        <f>((AW9-AV9)+(AX9-AW9))/2</f>
        <v>-0.26016881988654439</v>
      </c>
      <c r="AH9" s="4"/>
      <c r="AI9" s="28">
        <f>RSQ(AV9:AX9,AV8:AX8)</f>
        <v>0.94314848170947807</v>
      </c>
      <c r="AJ9" s="51">
        <f>SLOPE(AV9:AX9,AV8:AX8)</f>
        <v>-8.1139982228933265E-7</v>
      </c>
      <c r="AK9" s="28">
        <f>INTERCEPT(AV9:AX9,AV8:AX8)</f>
        <v>1.6795190508529032</v>
      </c>
      <c r="AL9" s="28">
        <f>INDEX(LINEST(LN(AV9:AX9),LN(AV8:AX8),TRUE,TRUE),3,1)</f>
        <v>0.83150795455845461</v>
      </c>
      <c r="AM9" s="28">
        <f>INDEX(LINEST(LN(AV9:AX9),LN(AV8:AX8)),1)</f>
        <v>-4.0070556100340063E-2</v>
      </c>
      <c r="AN9" s="28">
        <f>EXP(INDEX(LINEST(LN(AV9:AX9),LN(AV8:AX8)),1,2))</f>
        <v>2.2014615144976744</v>
      </c>
      <c r="AO9" s="47">
        <f>INDEX(LINEST((AV9:AX9),LN(AV8:AX8),TRUE,TRUE),3,1)</f>
        <v>0.86812080191164687</v>
      </c>
      <c r="AP9" s="47">
        <f>INDEX(LINEST((AV9:AX9),LN(AV8:AX8)),1)</f>
        <v>-5.9417801957902007E-2</v>
      </c>
      <c r="AQ9" s="48">
        <f>INDEX(LINEST(LN(AV9:AX9),SQRT(AV8:AX8),TRUE,TRUE),3,1)</f>
        <v>0.99343119033100502</v>
      </c>
      <c r="AR9" s="56">
        <f>INDEX(LINEST(LN(AV9:AX9),SQRT((AV8:AX8))),1)</f>
        <v>-4.6981969317761986E-4</v>
      </c>
      <c r="AS9" s="49">
        <f>INDEX(LINEST(1/(AV9:AX9),1/(SQRT(AV8:AX8)),TRUE,TRUE),3,1)</f>
        <v>0.67157507956831464</v>
      </c>
      <c r="AT9" s="49">
        <f>INDEX(LINEST(1/(AV9:AX9),1/SQRT(AV8:AX8)),1)</f>
        <v>-3.178673405063615</v>
      </c>
      <c r="AU9" s="3"/>
      <c r="AV9" s="7">
        <v>1.728962201966135</v>
      </c>
      <c r="AW9" s="7">
        <v>1.4697824666406569</v>
      </c>
      <c r="AX9" s="7">
        <v>1.2086245621930463</v>
      </c>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11"/>
      <c r="CS9" s="11"/>
      <c r="CT9" s="11"/>
      <c r="CU9" s="11"/>
    </row>
    <row r="10" spans="1:99" s="9" customFormat="1" ht="12" customHeight="1" x14ac:dyDescent="0.2">
      <c r="A10" s="37">
        <v>43899</v>
      </c>
      <c r="B10" s="1"/>
      <c r="C10" s="1"/>
      <c r="D10" s="32"/>
      <c r="E10" s="41"/>
      <c r="F10" s="32"/>
      <c r="G10" s="32"/>
      <c r="H10" s="32"/>
      <c r="I10" s="39"/>
      <c r="J10" s="32"/>
      <c r="K10" s="36"/>
      <c r="L10" s="36"/>
      <c r="M10" s="32"/>
      <c r="N10" s="33"/>
      <c r="O10" s="32"/>
      <c r="P10" s="32"/>
      <c r="Q10" s="32"/>
      <c r="R10" s="32"/>
      <c r="S10" s="32"/>
      <c r="T10" s="32"/>
      <c r="U10" s="32"/>
      <c r="V10" s="32"/>
      <c r="W10" s="32"/>
      <c r="X10" s="32"/>
      <c r="Y10" s="41"/>
      <c r="Z10" s="32"/>
      <c r="AA10" s="32"/>
      <c r="AB10" s="32"/>
      <c r="AC10" s="28"/>
      <c r="AD10" s="32"/>
      <c r="AE10" s="32"/>
      <c r="AF10" s="45"/>
      <c r="AG10" s="28"/>
      <c r="AH10" s="4"/>
      <c r="AI10" s="28"/>
      <c r="AJ10" s="51"/>
      <c r="AK10" s="28"/>
      <c r="AL10" s="28"/>
      <c r="AM10" s="28"/>
      <c r="AN10" s="28"/>
      <c r="AO10" s="47"/>
      <c r="AP10" s="47"/>
      <c r="AQ10" s="48"/>
      <c r="AR10" s="56"/>
      <c r="AS10" s="49"/>
      <c r="AT10" s="49"/>
      <c r="AU10" s="3"/>
      <c r="AV10" s="18">
        <v>3600</v>
      </c>
      <c r="AW10" s="18">
        <v>172800</v>
      </c>
      <c r="AX10" s="18">
        <v>604800</v>
      </c>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1"/>
      <c r="CS10" s="1"/>
      <c r="CT10" s="1"/>
      <c r="CU10" s="1"/>
    </row>
    <row r="11" spans="1:99" s="9" customFormat="1" ht="12" customHeight="1" x14ac:dyDescent="0.25">
      <c r="A11" s="37">
        <v>43899</v>
      </c>
      <c r="B11" s="1" t="s">
        <v>93</v>
      </c>
      <c r="C11" s="1" t="s">
        <v>42</v>
      </c>
      <c r="D11" s="32">
        <v>1994</v>
      </c>
      <c r="E11" s="40">
        <v>1</v>
      </c>
      <c r="F11" s="32">
        <v>36</v>
      </c>
      <c r="G11" s="32">
        <v>12</v>
      </c>
      <c r="H11" s="32" t="s">
        <v>22</v>
      </c>
      <c r="I11" s="39" t="s">
        <v>94</v>
      </c>
      <c r="J11" s="32" t="s">
        <v>31</v>
      </c>
      <c r="K11" s="32">
        <f>IF(J11="syllables",1,IF(J11="trigrams",2,IF(J11="strings",3,IF(J11="visual array",4,IF(J11="characters",5,IF(J11="letters",6,IF(J11="free forms",7,IF(J11="odors",8,IF(J11="words",9,IF(J11="pictures",10,IF(J11="object pictures",11,IF(J11="faces",12,IF(J11="names",13,IF(J11="idioms",14,IF(J11="grades",15,IF(J11="syllable-digit pairs",16,IF(J11="trigram-word pairs",17,IF(J11="word-digit pairs",18,IF(J11="English-Swahili pairs",19,IF(J11="spatial position",20,IF(J11="word pairs",21,IF(J11="word triads",22,IF(J11="generated words",23,IF(J11="word definition pairs",24,IF(J11="math problems",25,IF(J11="famous faces",26,IF(J11="famous names",27,IF(J11="famous voices",28,IF(J11="television programs",29,IF(J11="race horses",30,IF(J11="new vocabulary",31,IF(J11="sentences",32,IF(J11="concepts",33,IF(J11="ad slides",34,IF(J11="scenes",35,IF(J11="famous scenes",36,IF(J11="poems",37,IF(J11="walk",38,IF(J11="faces and events",39,IF(J11="events and names",40,IF(J11="flashbulb",41,IF(J11="stories",42,IF(J11="course material",43,IF(J11="autobiographical",44,IF(J11="novels",45,IF(J11="public events",46,"99"))))))))))))))))))))))))))))))))))))))))))))))</f>
        <v>42</v>
      </c>
      <c r="L11" s="32">
        <f>IF(J11="syllables",1,IF(J11="trigrams",1,IF(J11="strings",1,IF(J11="visual array",1,IF(J11="characters",1,IF(J11="letters",1,IF(J11="free forms",1,IF(J11="odors",2,IF(J11="words",2,IF(J11="pictures",2,IF(J11="object pictures",2,IF(J11="faces",2,IF(J11="names",2,IF(J11="idioms","2",IF(J11="grades",2,IF(J11="syllable-digit pairs",3,IF(J11="trigram-word pairs",3,IF(J11="word-digit pairs",3,IF(J11="English-Swahili pairs",3,IF(J11="spatial position",3,IF(J11="word pairs",4,IF(J11="word triads",4,IF(J11="generated words",4,IF(J11="word definition pairs",4,IF(J11="math problems",4,IF(J11="famous faces",4,IF(J11="famous names",4,IF(J11="famous voices",4,IF(J11="television programs",4,IF(J11="race horses",4,IF(J11="new vocabulary",4,IF(J11="sentences",5,IF(J11="concepts",5,IF(J11="ad slides",5,IF(J11="scenes",5,IF(J11="famous scenes",5,IF(J11="poems",6,IF(J11="walk",6,IF(J11="faces and events",6,IF(J11="events and names",6,IF(J11="flashbulb",7,IF(J11="stories",7,IF(J11="course material",7,IF(J11="autobiographical",7,IF(J11="novels",7,IF(J11="public events",7,"99"))))))))))))))))))))))))))))))))))))))))))))))</f>
        <v>7</v>
      </c>
      <c r="M11" s="32">
        <v>0</v>
      </c>
      <c r="N11" s="33">
        <v>3</v>
      </c>
      <c r="O11" s="32">
        <v>0</v>
      </c>
      <c r="P11" s="32"/>
      <c r="Q11" s="32" t="s">
        <v>18</v>
      </c>
      <c r="R11" s="32">
        <f>IF(Q11="Free Recall",1,IF(Q11="Cued Recall",2,IF(Q11="Recognition",3,IF(Q11="Multiple Choice",4,IF(Q11="Savings",5,IF(Q11="Stem Completion",6,IF(Q11="Fragment Completion",7,IF(Q11="anagram solution",8,IF(Q11="Matching",9,IF(Q11="Problem Solving",10,"99"))))))))))</f>
        <v>3</v>
      </c>
      <c r="S11" s="96" t="s">
        <v>196</v>
      </c>
      <c r="T11" s="31" t="s">
        <v>72</v>
      </c>
      <c r="U11" s="32">
        <f>IF(T11="within",1,0)</f>
        <v>0</v>
      </c>
      <c r="V11" s="31">
        <v>18</v>
      </c>
      <c r="W11" s="32">
        <f>F11*V11</f>
        <v>648</v>
      </c>
      <c r="X11" s="32">
        <v>3</v>
      </c>
      <c r="Y11" s="41">
        <f>AV10</f>
        <v>3600</v>
      </c>
      <c r="Z11" s="32" t="s">
        <v>41</v>
      </c>
      <c r="AA11" s="32">
        <v>604800</v>
      </c>
      <c r="AB11" s="32" t="str">
        <f>IF(AA11&lt;60,"1",IF(AA11&lt;=43200,"2",IF(AA11&lt;=777600,"3","4")))</f>
        <v>3</v>
      </c>
      <c r="AC11" s="28">
        <f>AVERAGE(AV10:DA10)</f>
        <v>260400</v>
      </c>
      <c r="AD11" s="32" t="str">
        <f>IF(AC11&lt;60,"1",IF(AC11&lt;=43200,"2",IF(AC11&lt;=777600,"3","4")))</f>
        <v>3</v>
      </c>
      <c r="AE11" s="41">
        <f>AA11-Y11</f>
        <v>601200</v>
      </c>
      <c r="AF11" s="45">
        <f>AV11</f>
        <v>1.5117115954463691</v>
      </c>
      <c r="AG11" s="28">
        <f>((AW11-AV11)+(AX11-AW11))/2</f>
        <v>-0.48112108723980856</v>
      </c>
      <c r="AH11" s="4"/>
      <c r="AI11" s="28">
        <f>RSQ(AV11:AX11,AV10:AX10)</f>
        <v>0.79805577907283121</v>
      </c>
      <c r="AJ11" s="51">
        <f>SLOPE(AV11:AX11,AV10:AX10)</f>
        <v>-1.4202323461422935E-6</v>
      </c>
      <c r="AK11" s="28">
        <f>INTERCEPT(AV11:AX11,AV10:AX10)</f>
        <v>1.3386351365847495</v>
      </c>
      <c r="AL11" s="28">
        <f>INDEX(LINEST(LN(AV11:AX11),LN(AV10:AX10),TRUE,TRUE),3,1)</f>
        <v>0.96008946112097304</v>
      </c>
      <c r="AM11" s="28">
        <f>INDEX(LINEST(LN(AV11:AX11),LN(AV10:AX10)),1)</f>
        <v>-0.1863050867167925</v>
      </c>
      <c r="AN11" s="28">
        <f>EXP(INDEX(LINEST(LN(AV11:AX11),LN(AV10:AX10)),1,2))</f>
        <v>7.1442718282128528</v>
      </c>
      <c r="AO11" s="47">
        <f>INDEX(LINEST((AV11:AX11),LN(AV10:AX10),TRUE,TRUE),3,1)</f>
        <v>0.9953782742276045</v>
      </c>
      <c r="AP11" s="47">
        <f>INDEX(LINEST((AV11:AX11),LN(AV10:AX10)),1)</f>
        <v>-0.18409154679495834</v>
      </c>
      <c r="AQ11" s="48">
        <f>INDEX(LINEST(LN(AV11:AX11),SQRT(AV10:AX10),TRUE,TRUE),3,1)</f>
        <v>0.99177095501254231</v>
      </c>
      <c r="AR11" s="56">
        <f>INDEX(LINEST(LN(AV11:AX11),SQRT((AV10:AX10))),1)</f>
        <v>-1.4094928405702406E-3</v>
      </c>
      <c r="AS11" s="49">
        <f>INDEX(LINEST(1/(AV11:AX11),1/(SQRT(AV10:AX10)),TRUE,TRUE),3,1)</f>
        <v>0.75686528851716639</v>
      </c>
      <c r="AT11" s="49">
        <f>INDEX(LINEST(1/(AV11:AX11),1/SQRT(AV10:AX10)),1)</f>
        <v>-58.860521152408815</v>
      </c>
      <c r="AU11" s="3"/>
      <c r="AV11" s="75">
        <v>1.5117115954463691</v>
      </c>
      <c r="AW11" s="75">
        <v>0.8452388845347677</v>
      </c>
      <c r="AX11" s="75">
        <v>0.549469420966752</v>
      </c>
      <c r="AY11" s="25"/>
      <c r="AZ11" s="57"/>
      <c r="BA11" s="57"/>
      <c r="BB11" s="57"/>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1"/>
      <c r="CS11" s="1"/>
      <c r="CT11" s="1"/>
      <c r="CU11" s="1"/>
    </row>
    <row r="12" spans="1:99" s="9" customFormat="1" ht="12" customHeight="1" x14ac:dyDescent="0.2">
      <c r="A12" s="37">
        <v>43899</v>
      </c>
      <c r="B12" s="1"/>
      <c r="C12" s="1"/>
      <c r="D12" s="32"/>
      <c r="E12" s="41"/>
      <c r="F12" s="32"/>
      <c r="G12" s="32"/>
      <c r="H12" s="32"/>
      <c r="I12" s="39"/>
      <c r="J12" s="32"/>
      <c r="K12" s="36"/>
      <c r="L12" s="36"/>
      <c r="M12" s="32"/>
      <c r="N12" s="33"/>
      <c r="O12" s="32"/>
      <c r="P12" s="32"/>
      <c r="Q12" s="32"/>
      <c r="R12" s="32"/>
      <c r="S12" s="96"/>
      <c r="T12" s="32"/>
      <c r="U12" s="32"/>
      <c r="V12" s="32"/>
      <c r="W12" s="32"/>
      <c r="X12" s="32"/>
      <c r="Y12" s="41"/>
      <c r="Z12" s="32"/>
      <c r="AA12" s="32"/>
      <c r="AB12" s="32"/>
      <c r="AC12" s="28"/>
      <c r="AD12" s="32"/>
      <c r="AE12" s="32"/>
      <c r="AF12" s="45"/>
      <c r="AG12" s="28"/>
      <c r="AH12" s="4"/>
      <c r="AI12" s="28"/>
      <c r="AJ12" s="51"/>
      <c r="AK12" s="28"/>
      <c r="AL12" s="28"/>
      <c r="AM12" s="28"/>
      <c r="AN12" s="28"/>
      <c r="AO12" s="47"/>
      <c r="AP12" s="47"/>
      <c r="AQ12" s="48"/>
      <c r="AR12" s="56"/>
      <c r="AS12" s="49"/>
      <c r="AT12" s="49"/>
      <c r="AU12" s="3"/>
      <c r="AV12" s="18">
        <v>3600</v>
      </c>
      <c r="AW12" s="18">
        <v>172800</v>
      </c>
      <c r="AX12" s="18">
        <v>604800</v>
      </c>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1"/>
      <c r="CS12" s="1"/>
      <c r="CT12" s="1"/>
      <c r="CU12" s="1"/>
    </row>
    <row r="13" spans="1:99" s="9" customFormat="1" ht="12" customHeight="1" x14ac:dyDescent="0.2">
      <c r="A13" s="37">
        <v>43899</v>
      </c>
      <c r="B13" s="1" t="s">
        <v>93</v>
      </c>
      <c r="C13" s="1" t="s">
        <v>42</v>
      </c>
      <c r="D13" s="32">
        <v>1994</v>
      </c>
      <c r="E13" s="40">
        <v>1</v>
      </c>
      <c r="F13" s="32">
        <v>36</v>
      </c>
      <c r="G13" s="32">
        <v>12</v>
      </c>
      <c r="H13" s="32" t="s">
        <v>22</v>
      </c>
      <c r="I13" s="39" t="s">
        <v>95</v>
      </c>
      <c r="J13" s="32" t="s">
        <v>31</v>
      </c>
      <c r="K13" s="32">
        <f>IF(J13="syllables",1,IF(J13="trigrams",2,IF(J13="strings",3,IF(J13="visual array",4,IF(J13="characters",5,IF(J13="letters",6,IF(J13="free forms",7,IF(J13="odors",8,IF(J13="words",9,IF(J13="pictures",10,IF(J13="object pictures",11,IF(J13="faces",12,IF(J13="names",13,IF(J13="idioms",14,IF(J13="grades",15,IF(J13="syllable-digit pairs",16,IF(J13="trigram-word pairs",17,IF(J13="word-digit pairs",18,IF(J13="English-Swahili pairs",19,IF(J13="spatial position",20,IF(J13="word pairs",21,IF(J13="word triads",22,IF(J13="generated words",23,IF(J13="word definition pairs",24,IF(J13="math problems",25,IF(J13="famous faces",26,IF(J13="famous names",27,IF(J13="famous voices",28,IF(J13="television programs",29,IF(J13="race horses",30,IF(J13="new vocabulary",31,IF(J13="sentences",32,IF(J13="concepts",33,IF(J13="ad slides",34,IF(J13="scenes",35,IF(J13="famous scenes",36,IF(J13="poems",37,IF(J13="walk",38,IF(J13="faces and events",39,IF(J13="events and names",40,IF(J13="flashbulb",41,IF(J13="stories",42,IF(J13="course material",43,IF(J13="autobiographical",44,IF(J13="novels",45,IF(J13="public events",46,"99"))))))))))))))))))))))))))))))))))))))))))))))</f>
        <v>42</v>
      </c>
      <c r="L13" s="32">
        <f>IF(J13="syllables",1,IF(J13="trigrams",1,IF(J13="strings",1,IF(J13="visual array",1,IF(J13="characters",1,IF(J13="letters",1,IF(J13="free forms",1,IF(J13="odors",2,IF(J13="words",2,IF(J13="pictures",2,IF(J13="object pictures",2,IF(J13="faces",2,IF(J13="names",2,IF(J13="idioms","2",IF(J13="grades",2,IF(J13="syllable-digit pairs",3,IF(J13="trigram-word pairs",3,IF(J13="word-digit pairs",3,IF(J13="English-Swahili pairs",3,IF(J13="spatial position",3,IF(J13="word pairs",4,IF(J13="word triads",4,IF(J13="generated words",4,IF(J13="word definition pairs",4,IF(J13="math problems",4,IF(J13="famous faces",4,IF(J13="famous names",4,IF(J13="famous voices",4,IF(J13="television programs",4,IF(J13="race horses",4,IF(J13="new vocabulary",4,IF(J13="sentences",5,IF(J13="concepts",5,IF(J13="ad slides",5,IF(J13="scenes",5,IF(J13="famous scenes",5,IF(J13="poems",6,IF(J13="walk",6,IF(J13="faces and events",6,IF(J13="events and names",6,IF(J13="flashbulb",7,IF(J13="stories",7,IF(J13="course material",7,IF(J13="autobiographical",7,IF(J13="novels",7,IF(J13="public events",7,"99"))))))))))))))))))))))))))))))))))))))))))))))</f>
        <v>7</v>
      </c>
      <c r="M13" s="32">
        <v>0</v>
      </c>
      <c r="N13" s="33">
        <v>3</v>
      </c>
      <c r="O13" s="32">
        <v>0</v>
      </c>
      <c r="P13" s="32"/>
      <c r="Q13" s="32" t="s">
        <v>18</v>
      </c>
      <c r="R13" s="32">
        <f>IF(Q13="Free Recall",1,IF(Q13="Cued Recall",2,IF(Q13="Recognition",3,IF(Q13="Multiple Choice",4,IF(Q13="Savings",5,IF(Q13="Stem Completion",6,IF(Q13="Fragment Completion",7,IF(Q13="anagram solution",8,IF(Q13="Matching",9,IF(Q13="Problem Solving",10,"99"))))))))))</f>
        <v>3</v>
      </c>
      <c r="S13" s="96" t="s">
        <v>196</v>
      </c>
      <c r="T13" s="31" t="s">
        <v>72</v>
      </c>
      <c r="U13" s="32">
        <f>IF(T13="within",1,0)</f>
        <v>0</v>
      </c>
      <c r="V13" s="31">
        <v>18</v>
      </c>
      <c r="W13" s="32">
        <f>F13*V13</f>
        <v>648</v>
      </c>
      <c r="X13" s="32">
        <v>3</v>
      </c>
      <c r="Y13" s="41">
        <f>AV12</f>
        <v>3600</v>
      </c>
      <c r="Z13" s="32" t="s">
        <v>41</v>
      </c>
      <c r="AA13" s="32">
        <v>604800</v>
      </c>
      <c r="AB13" s="32" t="str">
        <f>IF(AA13&lt;60,"1",IF(AA13&lt;=43200,"2",IF(AA13&lt;=777600,"3","4")))</f>
        <v>3</v>
      </c>
      <c r="AC13" s="28">
        <f>AVERAGE(AV12:DA12)</f>
        <v>260400</v>
      </c>
      <c r="AD13" s="32" t="str">
        <f>IF(AC13&lt;60,"1",IF(AC13&lt;=43200,"2",IF(AC13&lt;=777600,"3","4")))</f>
        <v>3</v>
      </c>
      <c r="AE13" s="41">
        <f>AA13-Y13</f>
        <v>601200</v>
      </c>
      <c r="AF13" s="45">
        <f>AV13</f>
        <v>3.280277030668433</v>
      </c>
      <c r="AG13" s="28">
        <f>((AW13-AV13)+(AX13-AW13))/2</f>
        <v>-0.75837333855380196</v>
      </c>
      <c r="AH13" s="4"/>
      <c r="AI13" s="28">
        <f>RSQ(AV13:AX13,AV12:AX12)</f>
        <v>0.63140978095877454</v>
      </c>
      <c r="AJ13" s="51">
        <f>SLOPE(AV13:AX13,AV12:AX12)</f>
        <v>-2.1150350173119778E-6</v>
      </c>
      <c r="AK13" s="28">
        <f>INTERCEPT(AV13:AX13,AV12:AX12)</f>
        <v>2.8848430065395623</v>
      </c>
      <c r="AL13" s="28">
        <f>INDEX(LINEST(LN(AV13:AX13),LN(AV12:AX12),TRUE,TRUE),3,1)</f>
        <v>0.99388971410342841</v>
      </c>
      <c r="AM13" s="28">
        <f>INDEX(LINEST(LN(AV13:AX13),LN(AV12:AX12)),1)</f>
        <v>-0.12398739227197249</v>
      </c>
      <c r="AN13" s="28">
        <f>EXP(INDEX(LINEST(LN(AV13:AX13),LN(AV12:AX12)),1,2))</f>
        <v>8.9906989978999796</v>
      </c>
      <c r="AO13" s="47">
        <f>INDEX(LINEST((AV13:AX13),LN(AV12:AX12),TRUE,TRUE),3,1)</f>
        <v>0.98606622776279484</v>
      </c>
      <c r="AP13" s="47">
        <f>INDEX(LINEST((AV13:AX13),LN(AV12:AX12)),1)</f>
        <v>-0.30676933430138875</v>
      </c>
      <c r="AQ13" s="48">
        <f>INDEX(LINEST(LN(AV13:AX13),SQRT(AV12:AX12),TRUE,TRUE),3,1)</f>
        <v>0.86908816835378344</v>
      </c>
      <c r="AR13" s="56">
        <f>INDEX(LINEST(LN(AV13:AX13),SQRT((AV12:AX12))),1)</f>
        <v>-8.6303551288196612E-4</v>
      </c>
      <c r="AS13" s="49">
        <f>INDEX(LINEST(1/(AV13:AX13),1/(SQRT(AV12:AX12)),TRUE,TRUE),3,1)</f>
        <v>0.98036145109709727</v>
      </c>
      <c r="AT13" s="49">
        <f>INDEX(LINEST(1/(AV13:AX13),1/SQRT(AV12:AX12)),1)</f>
        <v>-15.934231904251849</v>
      </c>
      <c r="AU13" s="3"/>
      <c r="AV13" s="75">
        <v>3.280277030668433</v>
      </c>
      <c r="AW13" s="75">
        <v>1.958456279865308</v>
      </c>
      <c r="AX13" s="75">
        <v>1.7635303535608291</v>
      </c>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1"/>
      <c r="CS13" s="1"/>
      <c r="CT13" s="1"/>
      <c r="CU13" s="1"/>
    </row>
    <row r="14" spans="1:99" s="9" customFormat="1" ht="12" customHeight="1" x14ac:dyDescent="0.2">
      <c r="A14" s="37">
        <v>43899</v>
      </c>
      <c r="B14" s="1"/>
      <c r="C14" s="1"/>
      <c r="D14" s="32"/>
      <c r="E14" s="41"/>
      <c r="F14" s="32"/>
      <c r="G14" s="32"/>
      <c r="H14" s="32"/>
      <c r="I14" s="39"/>
      <c r="J14" s="32"/>
      <c r="K14" s="36"/>
      <c r="L14" s="36"/>
      <c r="M14" s="32"/>
      <c r="N14" s="33"/>
      <c r="O14" s="32"/>
      <c r="P14" s="32"/>
      <c r="Q14" s="32"/>
      <c r="R14" s="32"/>
      <c r="S14" s="32"/>
      <c r="T14" s="32"/>
      <c r="U14" s="32"/>
      <c r="V14" s="32"/>
      <c r="W14" s="32"/>
      <c r="X14" s="32"/>
      <c r="Y14" s="41"/>
      <c r="Z14" s="32"/>
      <c r="AA14" s="32"/>
      <c r="AB14" s="32"/>
      <c r="AC14" s="28"/>
      <c r="AD14" s="32"/>
      <c r="AE14" s="32"/>
      <c r="AF14" s="45"/>
      <c r="AG14" s="28"/>
      <c r="AH14" s="4"/>
      <c r="AI14" s="28"/>
      <c r="AJ14" s="51"/>
      <c r="AK14" s="28"/>
      <c r="AL14" s="28"/>
      <c r="AM14" s="28"/>
      <c r="AN14" s="28"/>
      <c r="AO14" s="47"/>
      <c r="AP14" s="47"/>
      <c r="AQ14" s="48"/>
      <c r="AR14" s="56"/>
      <c r="AS14" s="49"/>
      <c r="AT14" s="49"/>
      <c r="AU14" s="3"/>
      <c r="AV14" s="18">
        <v>3600</v>
      </c>
      <c r="AW14" s="18">
        <v>172800</v>
      </c>
      <c r="AX14" s="18">
        <v>604800</v>
      </c>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1"/>
      <c r="CS14" s="1"/>
      <c r="CT14" s="1"/>
      <c r="CU14" s="1"/>
    </row>
    <row r="15" spans="1:99" s="9" customFormat="1" ht="12" customHeight="1" x14ac:dyDescent="0.2">
      <c r="A15" s="37">
        <v>43899</v>
      </c>
      <c r="B15" s="1" t="s">
        <v>93</v>
      </c>
      <c r="C15" s="1" t="s">
        <v>42</v>
      </c>
      <c r="D15" s="32">
        <v>1994</v>
      </c>
      <c r="E15" s="40">
        <v>1</v>
      </c>
      <c r="F15" s="32">
        <v>36</v>
      </c>
      <c r="G15" s="32">
        <v>12</v>
      </c>
      <c r="H15" s="32" t="s">
        <v>22</v>
      </c>
      <c r="I15" s="39" t="s">
        <v>96</v>
      </c>
      <c r="J15" s="32" t="s">
        <v>31</v>
      </c>
      <c r="K15" s="32">
        <f>IF(J15="syllables",1,IF(J15="trigrams",2,IF(J15="strings",3,IF(J15="visual array",4,IF(J15="characters",5,IF(J15="letters",6,IF(J15="free forms",7,IF(J15="odors",8,IF(J15="words",9,IF(J15="pictures",10,IF(J15="object pictures",11,IF(J15="faces",12,IF(J15="names",13,IF(J15="idioms",14,IF(J15="grades",15,IF(J15="syllable-digit pairs",16,IF(J15="trigram-word pairs",17,IF(J15="word-digit pairs",18,IF(J15="English-Swahili pairs",19,IF(J15="spatial position",20,IF(J15="word pairs",21,IF(J15="word triads",22,IF(J15="generated words",23,IF(J15="word definition pairs",24,IF(J15="math problems",25,IF(J15="famous faces",26,IF(J15="famous names",27,IF(J15="famous voices",28,IF(J15="television programs",29,IF(J15="race horses",30,IF(J15="new vocabulary",31,IF(J15="sentences",32,IF(J15="concepts",33,IF(J15="ad slides",34,IF(J15="scenes",35,IF(J15="famous scenes",36,IF(J15="poems",37,IF(J15="walk",38,IF(J15="faces and events",39,IF(J15="events and names",40,IF(J15="flashbulb",41,IF(J15="stories",42,IF(J15="course material",43,IF(J15="autobiographical",44,IF(J15="novels",45,IF(J15="public events",46,"99"))))))))))))))))))))))))))))))))))))))))))))))</f>
        <v>42</v>
      </c>
      <c r="L15" s="32">
        <f>IF(J15="syllables",1,IF(J15="trigrams",1,IF(J15="strings",1,IF(J15="visual array",1,IF(J15="characters",1,IF(J15="letters",1,IF(J15="free forms",1,IF(J15="odors",2,IF(J15="words",2,IF(J15="pictures",2,IF(J15="object pictures",2,IF(J15="faces",2,IF(J15="names",2,IF(J15="idioms","2",IF(J15="grades",2,IF(J15="syllable-digit pairs",3,IF(J15="trigram-word pairs",3,IF(J15="word-digit pairs",3,IF(J15="English-Swahili pairs",3,IF(J15="spatial position",3,IF(J15="word pairs",4,IF(J15="word triads",4,IF(J15="generated words",4,IF(J15="word definition pairs",4,IF(J15="math problems",4,IF(J15="famous faces",4,IF(J15="famous names",4,IF(J15="famous voices",4,IF(J15="television programs",4,IF(J15="race horses",4,IF(J15="new vocabulary",4,IF(J15="sentences",5,IF(J15="concepts",5,IF(J15="ad slides",5,IF(J15="scenes",5,IF(J15="famous scenes",5,IF(J15="poems",6,IF(J15="walk",6,IF(J15="faces and events",6,IF(J15="events and names",6,IF(J15="flashbulb",7,IF(J15="stories",7,IF(J15="course material",7,IF(J15="autobiographical",7,IF(J15="novels",7,IF(J15="public events",7,"99"))))))))))))))))))))))))))))))))))))))))))))))</f>
        <v>7</v>
      </c>
      <c r="M15" s="32">
        <v>0</v>
      </c>
      <c r="N15" s="33">
        <v>3</v>
      </c>
      <c r="O15" s="32">
        <v>0</v>
      </c>
      <c r="P15" s="32"/>
      <c r="Q15" s="32" t="s">
        <v>18</v>
      </c>
      <c r="R15" s="32">
        <f>IF(Q15="Free Recall",1,IF(Q15="Cued Recall",2,IF(Q15="Recognition",3,IF(Q15="Multiple Choice",4,IF(Q15="Savings",5,IF(Q15="Stem Completion",6,IF(Q15="Fragment Completion",7,IF(Q15="anagram solution",8,IF(Q15="Matching",9,IF(Q15="Problem Solving",10,"99"))))))))))</f>
        <v>3</v>
      </c>
      <c r="S15" s="96" t="s">
        <v>196</v>
      </c>
      <c r="T15" s="31" t="s">
        <v>72</v>
      </c>
      <c r="U15" s="32">
        <f>IF(T15="within",1,0)</f>
        <v>0</v>
      </c>
      <c r="V15" s="31">
        <v>18</v>
      </c>
      <c r="W15" s="32">
        <f>F15*V15</f>
        <v>648</v>
      </c>
      <c r="X15" s="32">
        <v>3</v>
      </c>
      <c r="Y15" s="41">
        <f>AV14</f>
        <v>3600</v>
      </c>
      <c r="Z15" s="32" t="s">
        <v>41</v>
      </c>
      <c r="AA15" s="32">
        <v>604800</v>
      </c>
      <c r="AB15" s="32" t="str">
        <f>IF(AA15&lt;60,"1",IF(AA15&lt;=43200,"2",IF(AA15&lt;=777600,"3","4")))</f>
        <v>3</v>
      </c>
      <c r="AC15" s="28">
        <f>AVERAGE(AV14:DA14)</f>
        <v>260400</v>
      </c>
      <c r="AD15" s="32" t="str">
        <f>IF(AC15&lt;60,"1",IF(AC15&lt;=43200,"2",IF(AC15&lt;=777600,"3","4")))</f>
        <v>3</v>
      </c>
      <c r="AE15" s="41">
        <f>AA15-Y15</f>
        <v>601200</v>
      </c>
      <c r="AF15" s="45">
        <f>AV15</f>
        <v>3.6671029077310568</v>
      </c>
      <c r="AG15" s="28">
        <f>((AW15-AV15)+(AX15-AW15))/2</f>
        <v>-0.93311101424808673</v>
      </c>
      <c r="AH15" s="4"/>
      <c r="AI15" s="28">
        <f>RSQ(AV15:AX15,AV14:AX14)</f>
        <v>0.54831352167540437</v>
      </c>
      <c r="AJ15" s="51">
        <f>SLOPE(AV15:AX15,AV14:AX14)</f>
        <v>-2.5256382616889527E-6</v>
      </c>
      <c r="AK15" s="28">
        <f>INTERCEPT(AV15:AX15,AV14:AX14)</f>
        <v>3.1044555250861094</v>
      </c>
      <c r="AL15" s="28">
        <f>INDEX(LINEST(LN(AV15:AX15),LN(AV14:AX14),TRUE,TRUE),3,1)</f>
        <v>0.9650673391574095</v>
      </c>
      <c r="AM15" s="28">
        <f>INDEX(LINEST(LN(AV15:AX15),LN(AV14:AX14)),1)</f>
        <v>-0.14703792681329769</v>
      </c>
      <c r="AN15" s="28">
        <f>EXP(INDEX(LINEST(LN(AV15:AX15),LN(AV14:AX14)),1,2))</f>
        <v>11.979731181297048</v>
      </c>
      <c r="AO15" s="47">
        <f>INDEX(LINEST((AV15:AX15),LN(AV14:AX14),TRUE,TRUE),3,1)</f>
        <v>0.95939347984535561</v>
      </c>
      <c r="AP15" s="47">
        <f>INDEX(LINEST((AV15:AX15),LN(AV14:AX14)),1)</f>
        <v>-0.38775021165247497</v>
      </c>
      <c r="AQ15" s="48">
        <f>INDEX(LINEST(LN(AV15:AX15),SQRT(AV14:AX14),TRUE,TRUE),3,1)</f>
        <v>0.78677887883336806</v>
      </c>
      <c r="AR15" s="56">
        <f>INDEX(LINEST(LN(AV15:AX15),SQRT((AV14:AX14))),1)</f>
        <v>-9.8824637082585583E-4</v>
      </c>
      <c r="AS15" s="49">
        <f>INDEX(LINEST(1/(AV15:AX15),1/(SQRT(AV14:AX14)),TRUE,TRUE),3,1)</f>
        <v>0.99999579171143316</v>
      </c>
      <c r="AT15" s="49">
        <f>INDEX(LINEST(1/(AV15:AX15),1/SQRT(AV14:AX14)),1)</f>
        <v>-18.354260639475484</v>
      </c>
      <c r="AU15" s="3"/>
      <c r="AV15" s="76">
        <v>3.6671029077310568</v>
      </c>
      <c r="AW15" s="76">
        <v>1.8723541782609783</v>
      </c>
      <c r="AX15" s="76">
        <v>1.8008808792348834</v>
      </c>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1"/>
      <c r="CS15" s="1"/>
      <c r="CT15" s="1"/>
      <c r="CU15" s="1"/>
    </row>
    <row r="16" spans="1:99" s="9" customFormat="1" ht="12" customHeight="1" x14ac:dyDescent="0.2">
      <c r="A16" s="37">
        <v>43509</v>
      </c>
      <c r="B16" s="1"/>
      <c r="C16" s="1"/>
      <c r="D16" s="32"/>
      <c r="E16" s="41"/>
      <c r="F16" s="32"/>
      <c r="G16" s="32"/>
      <c r="H16" s="33"/>
      <c r="I16" s="32"/>
      <c r="J16" s="32"/>
      <c r="K16" s="36"/>
      <c r="L16" s="36"/>
      <c r="M16" s="32"/>
      <c r="N16" s="32"/>
      <c r="O16" s="32"/>
      <c r="P16" s="32"/>
      <c r="Q16" s="32"/>
      <c r="R16" s="32"/>
      <c r="S16" s="32"/>
      <c r="T16" s="32"/>
      <c r="U16" s="32"/>
      <c r="V16" s="32"/>
      <c r="W16" s="32"/>
      <c r="X16" s="32"/>
      <c r="Y16" s="41"/>
      <c r="Z16" s="32"/>
      <c r="AA16" s="32"/>
      <c r="AB16" s="32"/>
      <c r="AC16" s="32"/>
      <c r="AD16" s="32"/>
      <c r="AE16" s="32"/>
      <c r="AF16" s="45"/>
      <c r="AG16" s="28"/>
      <c r="AH16" s="4"/>
      <c r="AI16" s="28"/>
      <c r="AJ16" s="51"/>
      <c r="AK16" s="28"/>
      <c r="AL16" s="28"/>
      <c r="AM16" s="28"/>
      <c r="AN16" s="28"/>
      <c r="AO16" s="28"/>
      <c r="AP16" s="28"/>
      <c r="AQ16" s="28"/>
      <c r="AR16" s="51"/>
      <c r="AS16" s="28"/>
      <c r="AT16" s="28"/>
      <c r="AU16" s="4"/>
      <c r="AV16" s="18">
        <v>60</v>
      </c>
      <c r="AW16" s="18">
        <v>86400</v>
      </c>
      <c r="AX16" s="18">
        <v>259200</v>
      </c>
      <c r="AY16" s="18">
        <v>604800</v>
      </c>
      <c r="AZ16" s="18">
        <v>1209600</v>
      </c>
      <c r="BA16" s="18">
        <v>2419200</v>
      </c>
      <c r="BB16" s="18">
        <v>3628800</v>
      </c>
      <c r="BC16" s="18">
        <v>4838400</v>
      </c>
      <c r="BD16" s="18">
        <v>7257600</v>
      </c>
      <c r="BE16" s="25"/>
      <c r="BF16" s="25"/>
      <c r="BG16" s="25"/>
      <c r="BH16" s="25"/>
      <c r="BI16" s="25"/>
      <c r="BJ16" s="25"/>
      <c r="BK16" s="25"/>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1"/>
      <c r="CS16" s="1"/>
      <c r="CT16" s="1"/>
      <c r="CU16" s="1"/>
    </row>
    <row r="17" spans="1:99" s="9" customFormat="1" ht="12" customHeight="1" x14ac:dyDescent="0.2">
      <c r="A17" s="37">
        <v>43509</v>
      </c>
      <c r="B17" s="1" t="s">
        <v>108</v>
      </c>
      <c r="C17" s="1" t="s">
        <v>42</v>
      </c>
      <c r="D17" s="32">
        <v>2019</v>
      </c>
      <c r="E17" s="41">
        <v>2</v>
      </c>
      <c r="F17" s="32">
        <v>144</v>
      </c>
      <c r="G17" s="32">
        <v>16</v>
      </c>
      <c r="H17" s="32" t="s">
        <v>16</v>
      </c>
      <c r="I17" s="32"/>
      <c r="J17" s="32" t="s">
        <v>109</v>
      </c>
      <c r="K17" s="32">
        <f>IF(J17="syllables",1,IF(J17="trigrams",2,IF(J17="strings",3,IF(J17="visual array",4,IF(J17="characters",5,IF(J17="letters",6,IF(J17="free forms",7,IF(J17="odors",8,IF(J17="words",9,IF(J17="pictures",10,IF(J17="object pictures",11,IF(J17="faces",12,IF(J17="names",13,IF(J17="idioms",14,IF(J17="grades",15,IF(J17="syllable-digit pairs",16,IF(J17="trigram-word pairs",17,IF(J17="word-digit pairs",18,IF(J17="English-Swahili pairs",19,IF(J17="spatial position",20,IF(J17="word pairs",21,IF(J17="word triads",22,IF(J17="generated words",23,IF(J17="word definition pairs",24,IF(J17="math problems",25,IF(J17="famous faces",26,IF(J17="famous names",27,IF(J17="famous voices",28,IF(J17="television programs",29,IF(J17="race horses",30,IF(J17="new vocabulary",31,IF(J17="sentences",32,IF(J17="concepts",33,IF(J17="ad slides",34,IF(J17="scenes",35,IF(J17="famous scenes",36,IF(J17="poems",37,IF(J17="walk",38,IF(J17="faces and events",39,IF(J17="events and names",40,IF(J17="flashbulb",41,IF(J17="stories",42,IF(J17="course material",43,IF(J17="autobiographical",44,IF(J17="novels",45,IF(J17="public events",46,"99"))))))))))))))))))))))))))))))))))))))))))))))</f>
        <v>32</v>
      </c>
      <c r="L17" s="32">
        <f>IF(J17="syllables",1,IF(J17="trigrams",1,IF(J17="strings",1,IF(J17="visual array",1,IF(J17="characters",1,IF(J17="letters",1,IF(J17="free forms",1,IF(J17="odors",2,IF(J17="words",2,IF(J17="pictures",2,IF(J17="object pictures",2,IF(J17="faces",2,IF(J17="names",2,IF(J17="idioms","2",IF(J17="grades",2,IF(J17="syllable-digit pairs",3,IF(J17="trigram-word pairs",3,IF(J17="word-digit pairs",3,IF(J17="English-Swahili pairs",3,IF(J17="spatial position",3,IF(J17="word pairs",4,IF(J17="word triads",4,IF(J17="generated words",4,IF(J17="word definition pairs",4,IF(J17="math problems",4,IF(J17="famous faces",4,IF(J17="famous names",4,IF(J17="famous voices",4,IF(J17="television programs",4,IF(J17="race horses",4,IF(J17="new vocabulary",4,IF(J17="sentences",5,IF(J17="concepts",5,IF(J17="ad slides",5,IF(J17="scenes",5,IF(J17="famous scenes",5,IF(J17="poems",6,IF(J17="walk",6,IF(J17="faces and events",6,IF(J17="events and names",6,IF(J17="flashbulb",7,IF(J17="stories",7,IF(J17="course material",7,IF(J17="autobiographical",7,IF(J17="novels",7,IF(J17="public events",7,"99"))))))))))))))))))))))))))))))))))))))))))))))</f>
        <v>5</v>
      </c>
      <c r="M17" s="32">
        <v>1</v>
      </c>
      <c r="N17" s="32">
        <v>4</v>
      </c>
      <c r="O17" s="32">
        <v>0</v>
      </c>
      <c r="P17" s="32"/>
      <c r="Q17" s="32" t="s">
        <v>18</v>
      </c>
      <c r="R17" s="32">
        <f>IF(Q17="Free Recall",1,IF(Q17="Cued Recall",2,IF(Q17="Recognition",3,IF(Q17="Multiple Choice",4,IF(Q17="Savings",5,IF(Q17="Stem Completion",6,IF(Q17="Fragment Completion",7,IF(Q17="anagram solution",8,IF(Q17="Matching",9,IF(Q17="Problem Solving",10,"99"))))))))))</f>
        <v>3</v>
      </c>
      <c r="S17" s="77" t="s">
        <v>196</v>
      </c>
      <c r="T17" s="32" t="s">
        <v>72</v>
      </c>
      <c r="U17" s="32">
        <f>IF(T17="within",1,0)</f>
        <v>0</v>
      </c>
      <c r="V17" s="32">
        <v>18</v>
      </c>
      <c r="W17" s="32">
        <f>F17*V17</f>
        <v>2592</v>
      </c>
      <c r="X17" s="32">
        <v>9</v>
      </c>
      <c r="Y17" s="41">
        <f>AV16</f>
        <v>60</v>
      </c>
      <c r="Z17" s="32" t="s">
        <v>61</v>
      </c>
      <c r="AA17" s="32">
        <v>7257600</v>
      </c>
      <c r="AB17" s="32" t="str">
        <f>IF(AA17&lt;60,"1",IF(AA17&lt;=43200,"2",IF(AA17&lt;=777600,"3","4")))</f>
        <v>4</v>
      </c>
      <c r="AC17" s="28">
        <f>AVERAGE(AV16:DA16)</f>
        <v>2256006.6666666665</v>
      </c>
      <c r="AD17" s="32" t="str">
        <f>IF(AC17&lt;60,"1",IF(AC17&lt;=43200,"2",IF(AC17&lt;=777600,"3","4")))</f>
        <v>4</v>
      </c>
      <c r="AE17" s="41">
        <f>AA17-Y17</f>
        <v>7257540</v>
      </c>
      <c r="AF17" s="45">
        <f>AV17</f>
        <v>7.0797721828637394</v>
      </c>
      <c r="AG17" s="28">
        <f>((AW17-AV17)+(AX17-AW17)+(AY17-AX17)+(AZ17-AY17)+(BA17-AZ17)+(BB17-BA17)+(BC17-BB17)+(BD17-BC17))/8</f>
        <v>-0.74999780108383252</v>
      </c>
      <c r="AH17" s="4"/>
      <c r="AI17" s="28">
        <f>RSQ(AV17:BD17,AV16:BD16)</f>
        <v>0.66633644111704149</v>
      </c>
      <c r="AJ17" s="51">
        <f>SLOPE(AV17:BD17,AV16:BD16)</f>
        <v>-8.2797169294862954E-7</v>
      </c>
      <c r="AK17" s="28">
        <f>INTERCEPT(AV17:BD17,AV16:BD16)</f>
        <v>5.6673881672604329</v>
      </c>
      <c r="AL17" s="28">
        <f>INDEX(LINEST(LN(AV17:BD17),LN(AV16:BD16),TRUE,TRUE),3,1)</f>
        <v>0.56314997282863155</v>
      </c>
      <c r="AM17" s="28">
        <f>INDEX(LINEST(LN(AV17:BD17),LN(AV16:BD16)),1)</f>
        <v>-0.15069728030683968</v>
      </c>
      <c r="AN17" s="28">
        <f>EXP(INDEX(LINEST(LN(AV17:BD17),LN(AV16:BD16)),1,2))</f>
        <v>21.29764758414133</v>
      </c>
      <c r="AO17" s="47">
        <f>INDEX(LINEST((AV17:BD17),LN(AV16:BD16),TRUE,TRUE),3,1)</f>
        <v>0.60082120074099554</v>
      </c>
      <c r="AP17" s="47">
        <f>INDEX(LINEST((AV17:BD17),LN(AV16:BD16)),1)</f>
        <v>-0.55119409806542385</v>
      </c>
      <c r="AQ17" s="48">
        <f>INDEX(LINEST(LN(AV17:BD17),SQRT(AV16:BD16),TRUE,TRUE),3,1)</f>
        <v>0.95276846115822034</v>
      </c>
      <c r="AR17" s="56">
        <f>INDEX(LINEST(LN(AV17:BD17),SQRT((AV16:BD16))),1)</f>
        <v>-7.6968774214040817E-4</v>
      </c>
      <c r="AS17" s="49">
        <f>INDEX(LINEST(1/(AV17:BD17),1/(SQRT(AV16:BD16)),TRUE,TRUE),3,1)</f>
        <v>0.14411627374996927</v>
      </c>
      <c r="AT17" s="49">
        <f>INDEX(LINEST(1/(AV17:BD17),1/SQRT(AV16:BD16)),1)</f>
        <v>-2.4698376543659877</v>
      </c>
      <c r="AU17" s="3"/>
      <c r="AV17" s="25">
        <v>7.0797721828637394</v>
      </c>
      <c r="AW17" s="25">
        <v>7.0797721828579299</v>
      </c>
      <c r="AX17" s="25">
        <v>7.0797721828637394</v>
      </c>
      <c r="AY17" s="25">
        <v>3.3565846363304219</v>
      </c>
      <c r="AZ17" s="25">
        <v>3.1557576315618023</v>
      </c>
      <c r="BA17" s="25">
        <v>2.1044244150878391</v>
      </c>
      <c r="BB17" s="25">
        <v>1.8525125550036416</v>
      </c>
      <c r="BC17" s="25">
        <v>1.4069210126511544</v>
      </c>
      <c r="BD17" s="25">
        <v>1.0797897741930793</v>
      </c>
      <c r="BE17" s="25"/>
      <c r="BF17" s="25"/>
      <c r="BG17" s="25"/>
      <c r="BH17" s="25"/>
      <c r="BI17" s="25"/>
      <c r="BJ17" s="25"/>
      <c r="BK17" s="25"/>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1"/>
      <c r="CS17" s="1"/>
      <c r="CT17" s="1"/>
      <c r="CU17" s="1"/>
    </row>
    <row r="18" spans="1:99" s="9" customFormat="1" ht="12" customHeight="1" x14ac:dyDescent="0.2">
      <c r="A18" s="37">
        <v>43509</v>
      </c>
      <c r="B18" s="1"/>
      <c r="C18" s="1"/>
      <c r="D18" s="32"/>
      <c r="E18" s="41"/>
      <c r="F18" s="32"/>
      <c r="G18" s="32"/>
      <c r="H18" s="33"/>
      <c r="I18" s="32"/>
      <c r="J18" s="32"/>
      <c r="K18" s="36"/>
      <c r="L18" s="36"/>
      <c r="M18" s="32"/>
      <c r="N18" s="32"/>
      <c r="O18" s="32"/>
      <c r="P18" s="32"/>
      <c r="Q18" s="32"/>
      <c r="R18" s="32"/>
      <c r="S18" s="77"/>
      <c r="T18" s="32"/>
      <c r="U18" s="32"/>
      <c r="V18" s="32"/>
      <c r="W18" s="32"/>
      <c r="X18" s="32"/>
      <c r="Y18" s="41"/>
      <c r="Z18" s="32"/>
      <c r="AA18" s="32"/>
      <c r="AB18" s="32"/>
      <c r="AC18" s="32"/>
      <c r="AD18" s="32"/>
      <c r="AE18" s="32"/>
      <c r="AF18" s="45"/>
      <c r="AG18" s="28"/>
      <c r="AH18" s="4"/>
      <c r="AI18" s="28"/>
      <c r="AJ18" s="51"/>
      <c r="AK18" s="28"/>
      <c r="AL18" s="28"/>
      <c r="AM18" s="28"/>
      <c r="AN18" s="28"/>
      <c r="AO18" s="28"/>
      <c r="AP18" s="28"/>
      <c r="AQ18" s="47"/>
      <c r="AR18" s="55"/>
      <c r="AS18" s="47"/>
      <c r="AT18" s="47"/>
      <c r="AU18" s="4"/>
      <c r="AV18" s="18">
        <v>60</v>
      </c>
      <c r="AW18" s="18">
        <v>86400</v>
      </c>
      <c r="AX18" s="18">
        <v>259200</v>
      </c>
      <c r="AY18" s="18">
        <v>604800</v>
      </c>
      <c r="AZ18" s="18">
        <v>864000</v>
      </c>
      <c r="BA18" s="18">
        <v>1209600</v>
      </c>
      <c r="BB18" s="25"/>
      <c r="BC18" s="25"/>
      <c r="BD18" s="25"/>
      <c r="BE18" s="25"/>
      <c r="BF18" s="25"/>
      <c r="BG18" s="25"/>
      <c r="BH18" s="25"/>
      <c r="BI18" s="25"/>
      <c r="BJ18" s="25"/>
      <c r="BK18" s="25"/>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1"/>
      <c r="CS18" s="1"/>
      <c r="CT18" s="1"/>
      <c r="CU18" s="1"/>
    </row>
    <row r="19" spans="1:99" s="9" customFormat="1" ht="12" customHeight="1" x14ac:dyDescent="0.2">
      <c r="A19" s="37">
        <v>43509</v>
      </c>
      <c r="B19" s="1" t="s">
        <v>108</v>
      </c>
      <c r="C19" s="1" t="s">
        <v>42</v>
      </c>
      <c r="D19" s="32">
        <v>2019</v>
      </c>
      <c r="E19" s="41">
        <v>3</v>
      </c>
      <c r="F19" s="32">
        <v>144</v>
      </c>
      <c r="G19" s="32">
        <v>24</v>
      </c>
      <c r="H19" s="32" t="s">
        <v>13</v>
      </c>
      <c r="I19" s="32"/>
      <c r="J19" s="32" t="s">
        <v>84</v>
      </c>
      <c r="K19" s="32">
        <f>IF(J19="syllables",1,IF(J19="trigrams",2,IF(J19="strings",3,IF(J19="visual array",4,IF(J19="characters",5,IF(J19="letters",6,IF(J19="free forms",7,IF(J19="odors",8,IF(J19="words",9,IF(J19="pictures",10,IF(J19="object pictures",11,IF(J19="faces",12,IF(J19="names",13,IF(J19="idioms",14,IF(J19="grades",15,IF(J19="syllable-digit pairs",16,IF(J19="trigram-word pairs",17,IF(J19="word-digit pairs",18,IF(J19="English-Swahili pairs",19,IF(J19="spatial position",20,IF(J19="word pairs",21,IF(J19="word triads",22,IF(J19="generated words",23,IF(J19="word definition pairs",24,IF(J19="math problems",25,IF(J19="famous faces",26,IF(J19="famous names",27,IF(J19="famous voices",28,IF(J19="television programs",29,IF(J19="race horses",30,IF(J19="new vocabulary",31,IF(J19="sentences",32,IF(J19="concepts",33,IF(J19="ad slides",34,IF(J19="scenes",35,IF(J19="famous scenes",36,IF(J19="poems",37,IF(J19="walk",38,IF(J19="faces and events",39,IF(J19="events and names",40,IF(J19="flashbulb",41,IF(J19="stories",42,IF(J19="course material",43,IF(J19="autobiographical",44,IF(J19="novels",45,IF(J19="public events",46,"99"))))))))))))))))))))))))))))))))))))))))))))))</f>
        <v>21</v>
      </c>
      <c r="L19" s="32">
        <f>IF(J19="syllables",1,IF(J19="trigrams",1,IF(J19="strings",1,IF(J19="visual array",1,IF(J19="characters",1,IF(J19="letters",1,IF(J19="free forms",1,IF(J19="odors",2,IF(J19="words",2,IF(J19="pictures",2,IF(J19="object pictures",2,IF(J19="faces",2,IF(J19="names",2,IF(J19="idioms","2",IF(J19="grades",2,IF(J19="syllable-digit pairs",3,IF(J19="trigram-word pairs",3,IF(J19="word-digit pairs",3,IF(J19="English-Swahili pairs",3,IF(J19="spatial position",3,IF(J19="word pairs",4,IF(J19="word triads",4,IF(J19="generated words",4,IF(J19="word definition pairs",4,IF(J19="math problems",4,IF(J19="famous faces",4,IF(J19="famous names",4,IF(J19="famous voices",4,IF(J19="television programs",4,IF(J19="race horses",4,IF(J19="new vocabulary",4,IF(J19="sentences",5,IF(J19="concepts",5,IF(J19="ad slides",5,IF(J19="scenes",5,IF(J19="famous scenes",5,IF(J19="poems",6,IF(J19="walk",6,IF(J19="faces and events",6,IF(J19="events and names",6,IF(J19="flashbulb",7,IF(J19="stories",7,IF(J19="course material",7,IF(J19="autobiographical",7,IF(J19="novels",7,IF(J19="public events",7,"99"))))))))))))))))))))))))))))))))))))))))))))))</f>
        <v>4</v>
      </c>
      <c r="M19" s="32">
        <v>1</v>
      </c>
      <c r="N19" s="32">
        <v>4</v>
      </c>
      <c r="O19" s="32">
        <v>0</v>
      </c>
      <c r="P19" s="32"/>
      <c r="Q19" s="32" t="s">
        <v>18</v>
      </c>
      <c r="R19" s="32">
        <f>IF(Q19="Free Recall",1,IF(Q19="Cued Recall",2,IF(Q19="Recognition",3,IF(Q19="Multiple Choice",4,IF(Q19="Savings",5,IF(Q19="Stem Completion",6,IF(Q19="Fragment Completion",7,IF(Q19="anagram solution",8,IF(Q19="Matching",9,IF(Q19="Problem Solving",10,"99"))))))))))</f>
        <v>3</v>
      </c>
      <c r="S19" s="77" t="s">
        <v>196</v>
      </c>
      <c r="T19" s="32" t="s">
        <v>72</v>
      </c>
      <c r="U19" s="32">
        <f>IF(T19="within",1,0)</f>
        <v>0</v>
      </c>
      <c r="V19" s="32">
        <v>18</v>
      </c>
      <c r="W19" s="32">
        <f>F19*V19</f>
        <v>2592</v>
      </c>
      <c r="X19" s="32">
        <v>6</v>
      </c>
      <c r="Y19" s="41">
        <f>AV18</f>
        <v>60</v>
      </c>
      <c r="Z19" s="32" t="s">
        <v>59</v>
      </c>
      <c r="AA19" s="32">
        <f>14*24*2600</f>
        <v>873600</v>
      </c>
      <c r="AB19" s="32" t="str">
        <f>IF(AA19&lt;60,"1",IF(AA19&lt;=43200,"2",IF(AA19&lt;=777600,"3","4")))</f>
        <v>4</v>
      </c>
      <c r="AC19" s="28">
        <f>AVERAGE(AV18:DA18)</f>
        <v>504010</v>
      </c>
      <c r="AD19" s="32" t="str">
        <f>IF(AC19&lt;60,"1",IF(AC19&lt;=43200,"2",IF(AC19&lt;=777600,"3","4")))</f>
        <v>3</v>
      </c>
      <c r="AE19" s="41">
        <f>AA19-Y19</f>
        <v>873540</v>
      </c>
      <c r="AF19" s="45">
        <f>AV19</f>
        <v>3.6741087245461443</v>
      </c>
      <c r="AG19" s="28">
        <f>((AW19-AV19)+(AX19-AW19)+(AY19-AX19)+(AZ19-AY19)+(BA19-AZ19))/5</f>
        <v>-0.40059539109425674</v>
      </c>
      <c r="AH19" s="4"/>
      <c r="AI19" s="28">
        <f>RSQ(AV19:BA19,AV18:BA18)</f>
        <v>0.90077278447736719</v>
      </c>
      <c r="AJ19" s="51">
        <f>SLOPE(AV19:BA19,AV18:BA18)</f>
        <v>-1.8054420807406573E-6</v>
      </c>
      <c r="AK19" s="28">
        <f>INTERCEPT(AV19:BA19,AV18:BA18)</f>
        <v>3.5004277658513585</v>
      </c>
      <c r="AL19" s="28">
        <f>INDEX(LINEST(LN(AV19:BA19),LN(AV18:BA18),TRUE,TRUE),3,1)</f>
        <v>0.52993729347359309</v>
      </c>
      <c r="AM19" s="28">
        <f>INDEX(LINEST(LN(AV19:BA19),LN(AV18:BA18)),1)</f>
        <v>-7.0295685363808869E-2</v>
      </c>
      <c r="AN19" s="28">
        <f>EXP(INDEX(LINEST(LN(AV19:BA19),LN(AV18:BA18)),1,2))</f>
        <v>5.5063841842261727</v>
      </c>
      <c r="AO19" s="47">
        <f>INDEX(LINEST((AV19:BA19),LN(AV18:BA18),TRUE,TRUE),3,1)</f>
        <v>0.58159107792402531</v>
      </c>
      <c r="AP19" s="47">
        <f>INDEX(LINEST((AV19:BA19),LN(AV18:BA18)),1)</f>
        <v>-0.18390412629261413</v>
      </c>
      <c r="AQ19" s="48">
        <f>INDEX(LINEST(LN(AV19:BA19),SQRT(AV18:BA18),TRUE,TRUE),3,1)</f>
        <v>0.9105613738701982</v>
      </c>
      <c r="AR19" s="56">
        <f>INDEX(LINEST(LN(AV19:BA19),SQRT((AV18:BA18))),1)</f>
        <v>-8.4023329650092268E-4</v>
      </c>
      <c r="AS19" s="49">
        <f>INDEX(LINEST(1/(AV19:BA19),1/(SQRT(AV18:BA18)),TRUE,TRUE),3,1)</f>
        <v>0.2721262779369808</v>
      </c>
      <c r="AT19" s="49">
        <f>INDEX(LINEST(1/(AV19:BA19),1/SQRT(AV18:BA18)),1)</f>
        <v>-1.5218572160539023</v>
      </c>
      <c r="AU19" s="3"/>
      <c r="AV19" s="25">
        <v>3.6741087245461443</v>
      </c>
      <c r="AW19" s="25">
        <v>3.3281218183605601</v>
      </c>
      <c r="AX19" s="25">
        <v>3.17893152151886</v>
      </c>
      <c r="AY19" s="25">
        <v>2.0091684539600148</v>
      </c>
      <c r="AZ19" s="25">
        <v>1.6813391289631192</v>
      </c>
      <c r="BA19" s="25">
        <v>1.6711317690748608</v>
      </c>
      <c r="BB19" s="25"/>
      <c r="BC19" s="25"/>
      <c r="BD19" s="25"/>
      <c r="BE19" s="25"/>
      <c r="BF19" s="25"/>
      <c r="BG19" s="25"/>
      <c r="BH19" s="25"/>
      <c r="BI19" s="25"/>
      <c r="BJ19" s="25"/>
      <c r="BK19" s="25"/>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1"/>
      <c r="CS19" s="1"/>
      <c r="CT19" s="1"/>
      <c r="CU19" s="1"/>
    </row>
    <row r="20" spans="1:99" s="9" customFormat="1" ht="12" customHeight="1" x14ac:dyDescent="0.2">
      <c r="A20" s="37">
        <v>43509</v>
      </c>
      <c r="B20" s="1"/>
      <c r="C20" s="1"/>
      <c r="D20" s="32"/>
      <c r="E20" s="41"/>
      <c r="F20" s="32"/>
      <c r="G20" s="32"/>
      <c r="H20" s="32"/>
      <c r="I20" s="32"/>
      <c r="J20" s="32"/>
      <c r="K20" s="36"/>
      <c r="L20" s="36"/>
      <c r="M20" s="32"/>
      <c r="N20" s="32"/>
      <c r="O20" s="32"/>
      <c r="P20" s="32"/>
      <c r="Q20" s="32"/>
      <c r="R20" s="32"/>
      <c r="S20" s="32"/>
      <c r="T20" s="32"/>
      <c r="U20" s="32"/>
      <c r="V20" s="32"/>
      <c r="W20" s="32"/>
      <c r="X20" s="32"/>
      <c r="Y20" s="41"/>
      <c r="Z20" s="32"/>
      <c r="AA20" s="32"/>
      <c r="AB20" s="32"/>
      <c r="AC20" s="28"/>
      <c r="AD20" s="32"/>
      <c r="AE20" s="32"/>
      <c r="AF20" s="45"/>
      <c r="AG20" s="28"/>
      <c r="AH20" s="4"/>
      <c r="AI20" s="28"/>
      <c r="AJ20" s="51"/>
      <c r="AK20" s="28"/>
      <c r="AL20" s="28"/>
      <c r="AM20" s="28"/>
      <c r="AN20" s="28"/>
      <c r="AO20" s="47"/>
      <c r="AP20" s="47"/>
      <c r="AQ20" s="48"/>
      <c r="AR20" s="56"/>
      <c r="AS20" s="49"/>
      <c r="AT20" s="49"/>
      <c r="AU20" s="3"/>
      <c r="AV20" s="18">
        <v>900</v>
      </c>
      <c r="AW20" s="18">
        <v>2592000</v>
      </c>
      <c r="AX20" s="18">
        <v>5270400</v>
      </c>
      <c r="AY20" s="25"/>
      <c r="AZ20" s="25"/>
      <c r="BA20" s="25"/>
      <c r="BB20" s="25"/>
      <c r="BC20" s="25"/>
      <c r="BD20" s="25"/>
      <c r="BE20" s="25"/>
      <c r="BF20" s="25"/>
      <c r="BG20" s="25"/>
      <c r="BH20" s="25"/>
      <c r="BI20" s="25"/>
      <c r="BJ20" s="25"/>
      <c r="BK20" s="25"/>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1"/>
      <c r="CS20" s="1"/>
      <c r="CT20" s="1"/>
      <c r="CU20" s="1"/>
    </row>
    <row r="21" spans="1:99" s="9" customFormat="1" ht="12" customHeight="1" x14ac:dyDescent="0.2">
      <c r="A21" s="37">
        <v>43509</v>
      </c>
      <c r="B21" s="17" t="s">
        <v>62</v>
      </c>
      <c r="C21" s="1" t="s">
        <v>34</v>
      </c>
      <c r="D21" s="32">
        <v>1976</v>
      </c>
      <c r="E21" s="41">
        <v>2</v>
      </c>
      <c r="F21" s="32">
        <v>100</v>
      </c>
      <c r="G21" s="32">
        <v>33.299999999999997</v>
      </c>
      <c r="H21" s="32" t="s">
        <v>22</v>
      </c>
      <c r="I21" s="32" t="s">
        <v>12</v>
      </c>
      <c r="J21" s="32" t="s">
        <v>12</v>
      </c>
      <c r="K21" s="32">
        <f>IF(J21="syllables",1,IF(J21="trigrams",2,IF(J21="strings",3,IF(J21="visual array",4,IF(J21="characters",5,IF(J21="letters",6,IF(J21="free forms",7,IF(J21="odors",8,IF(J21="words",9,IF(J21="pictures",10,IF(J21="object pictures",11,IF(J21="faces",12,IF(J21="names",13,IF(J21="idioms",14,IF(J21="grades",15,IF(J21="syllable-digit pairs",16,IF(J21="trigram-word pairs",17,IF(J21="word-digit pairs",18,IF(J21="English-Swahili pairs",19,IF(J21="spatial position",20,IF(J21="word pairs",21,IF(J21="word triads",22,IF(J21="generated words",23,IF(J21="word definition pairs",24,IF(J21="math problems",25,IF(J21="famous faces",26,IF(J21="famous names",27,IF(J21="famous voices",28,IF(J21="television programs",29,IF(J21="race horses",30,IF(J21="new vocabulary",31,IF(J21="sentences",32,IF(J21="concepts",33,IF(J21="ad slides",34,IF(J21="scenes",35,IF(J21="famous scenes",36,IF(J21="poems",37,IF(J21="walk",38,IF(J21="faces and events",39,IF(J21="events and names",40,IF(J21="flashbulb",41,IF(J21="stories",42,IF(J21="course material",43,IF(J21="autobiographical",44,IF(J21="novels",45,IF(J21="public events",46,"99"))))))))))))))))))))))))))))))))))))))))))))))</f>
        <v>9</v>
      </c>
      <c r="L21" s="32">
        <f>IF(J21="syllables",1,IF(J21="trigrams",1,IF(J21="strings",1,IF(J21="visual array",1,IF(J21="characters",1,IF(J21="letters",1,IF(J21="free forms",1,IF(J21="odors",2,IF(J21="words",2,IF(J21="pictures",2,IF(J21="object pictures",2,IF(J21="faces",2,IF(J21="names",2,IF(J21="idioms","2",IF(J21="grades",2,IF(J21="syllable-digit pairs",3,IF(J21="trigram-word pairs",3,IF(J21="word-digit pairs",3,IF(J21="English-Swahili pairs",3,IF(J21="spatial position",3,IF(J21="word pairs",4,IF(J21="word triads",4,IF(J21="generated words",4,IF(J21="word definition pairs",4,IF(J21="math problems",4,IF(J21="famous faces",4,IF(J21="famous names",4,IF(J21="famous voices",4,IF(J21="television programs",4,IF(J21="race horses",4,IF(J21="new vocabulary",4,IF(J21="sentences",5,IF(J21="concepts",5,IF(J21="ad slides",5,IF(J21="scenes",5,IF(J21="famous scenes",5,IF(J21="poems",6,IF(J21="walk",6,IF(J21="faces and events",6,IF(J21="events and names",6,IF(J21="flashbulb",7,IF(J21="stories",7,IF(J21="course material",7,IF(J21="autobiographical",7,IF(J21="novels",7,IF(J21="public events",7,"99"))))))))))))))))))))))))))))))))))))))))))))))</f>
        <v>2</v>
      </c>
      <c r="M21" s="32">
        <v>0</v>
      </c>
      <c r="N21" s="32">
        <v>1</v>
      </c>
      <c r="O21" s="32">
        <v>0</v>
      </c>
      <c r="P21" s="32"/>
      <c r="Q21" s="32" t="s">
        <v>18</v>
      </c>
      <c r="R21" s="32">
        <f>IF(Q21="Free Recall",1,IF(Q21="Cued Recall",2,IF(Q21="Recognition",3,IF(Q21="Multiple Choice",4,IF(Q21="Savings",5,IF(Q21="Stem Completion",6,IF(Q21="Fragment Completion",7,IF(Q21="anagram solution",8,IF(Q21="Matching",9,IF(Q21="Problem Solving",10,"99"))))))))))</f>
        <v>3</v>
      </c>
      <c r="S21" s="77" t="s">
        <v>196</v>
      </c>
      <c r="T21" s="32" t="s">
        <v>72</v>
      </c>
      <c r="U21" s="32">
        <f>IF(T21="within",1,0)</f>
        <v>0</v>
      </c>
      <c r="V21" s="32">
        <v>70</v>
      </c>
      <c r="W21" s="32">
        <f>F21*V21</f>
        <v>7000</v>
      </c>
      <c r="X21" s="32">
        <v>3</v>
      </c>
      <c r="Y21" s="41">
        <f>AV20</f>
        <v>900</v>
      </c>
      <c r="Z21" s="32" t="s">
        <v>64</v>
      </c>
      <c r="AA21" s="32">
        <v>5270400</v>
      </c>
      <c r="AB21" s="32" t="str">
        <f>IF(AA21&lt;60,"1",IF(AA21&lt;=43200,"2",IF(AA21&lt;=777600,"3","4")))</f>
        <v>4</v>
      </c>
      <c r="AC21" s="28">
        <f>AVERAGE(AV20:DA20)</f>
        <v>2621100</v>
      </c>
      <c r="AD21" s="32" t="str">
        <f>IF(AC21&lt;60,"1",IF(AC21&lt;=43200,"2",IF(AC21&lt;=777600,"3","4")))</f>
        <v>4</v>
      </c>
      <c r="AE21" s="41">
        <f>AA21-Y21</f>
        <v>5269500</v>
      </c>
      <c r="AF21" s="45">
        <f>AV21</f>
        <v>1.4322534287620328</v>
      </c>
      <c r="AG21" s="28">
        <f>((AW21-AV21)+(AX21-AW21))/2</f>
        <v>-0.55503302672009991</v>
      </c>
      <c r="AH21" s="4"/>
      <c r="AI21" s="28">
        <f>RSQ(AV21:AX21,AV20:AX20)</f>
        <v>0.84929009686478907</v>
      </c>
      <c r="AJ21" s="51">
        <f>SLOPE(AV21:AX21,AV20:AX20)</f>
        <v>-2.0981331056696528E-7</v>
      </c>
      <c r="AK21" s="28">
        <f>INTERCEPT(AV21:AX21,AV20:AX20)</f>
        <v>1.2957667483606448</v>
      </c>
      <c r="AL21" s="28">
        <f>INDEX(LINEST(LN(AV21:AX21),LN(AV20:AX20),TRUE,TRUE),3,1)</f>
        <v>0.96364959138144302</v>
      </c>
      <c r="AM21" s="28">
        <f>INDEX(LINEST(LN(AV21:AX21),LN(AV20:AX20)),1)</f>
        <v>-0.15722364664076066</v>
      </c>
      <c r="AN21" s="28">
        <f>EXP(INDEX(LINEST(LN(AV21:AX21),LN(AV20:AX20)),1,2))</f>
        <v>4.2260085202060944</v>
      </c>
      <c r="AO21" s="47">
        <f>INDEX(LINEST((AV21:AX21),LN(AV20:AX20),TRUE,TRUE),3,1)</f>
        <v>0.99631538915476359</v>
      </c>
      <c r="AP21" s="47">
        <f>INDEX(LINEST((AV21:AX21),LN(AV20:AX20)),1)</f>
        <v>-0.12430779968915981</v>
      </c>
      <c r="AQ21" s="48">
        <f>INDEX(LINEST(LN(AV21:AX21),SQRT(AV20:AX20),TRUE,TRUE),3,1)</f>
        <v>0.99884445148971091</v>
      </c>
      <c r="AR21" s="56">
        <f>INDEX(LINEST(LN(AV21:AX21),SQRT((AV20:AX20))),1)</f>
        <v>-6.6359193379369628E-4</v>
      </c>
      <c r="AS21" s="49">
        <f>INDEX(LINEST(1/(AV21:AX21),1/(SQRT(AV20:AX20)),TRUE,TRUE),3,1)</f>
        <v>0.82039433918448612</v>
      </c>
      <c r="AT21" s="49">
        <f>INDEX(LINEST(1/(AV21:AX21),1/SQRT(AV20:AX20)),1)</f>
        <v>-57.709333043883476</v>
      </c>
      <c r="AU21" s="3"/>
      <c r="AV21" s="25">
        <v>1.4322534287620328</v>
      </c>
      <c r="AW21" s="25">
        <v>0.48303443601685003</v>
      </c>
      <c r="AX21" s="25">
        <v>0.322187375321833</v>
      </c>
      <c r="AY21" s="25"/>
      <c r="AZ21" s="25"/>
      <c r="BA21" s="25"/>
      <c r="BB21" s="25"/>
      <c r="BC21" s="25"/>
      <c r="BD21" s="25"/>
      <c r="BE21" s="25"/>
      <c r="BF21" s="25"/>
      <c r="BG21" s="25"/>
      <c r="BH21" s="25"/>
      <c r="BI21" s="25"/>
      <c r="BJ21" s="25"/>
      <c r="BK21" s="25"/>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1"/>
      <c r="CS21" s="1"/>
      <c r="CT21" s="1"/>
      <c r="CU21" s="1"/>
    </row>
    <row r="22" spans="1:99" s="9" customFormat="1" ht="12" customHeight="1" x14ac:dyDescent="0.2">
      <c r="A22" s="37">
        <v>43509</v>
      </c>
      <c r="B22" s="1"/>
      <c r="C22" s="1"/>
      <c r="D22" s="32"/>
      <c r="E22" s="41"/>
      <c r="F22" s="32"/>
      <c r="G22" s="32"/>
      <c r="H22" s="32"/>
      <c r="I22" s="32"/>
      <c r="J22" s="32"/>
      <c r="K22" s="36"/>
      <c r="L22" s="36"/>
      <c r="M22" s="32"/>
      <c r="N22" s="32"/>
      <c r="O22" s="32"/>
      <c r="P22" s="32"/>
      <c r="Q22" s="32"/>
      <c r="R22" s="32"/>
      <c r="S22" s="77"/>
      <c r="T22" s="32"/>
      <c r="U22" s="32"/>
      <c r="V22" s="32"/>
      <c r="W22" s="32"/>
      <c r="X22" s="32"/>
      <c r="Y22" s="41"/>
      <c r="Z22" s="32"/>
      <c r="AA22" s="32"/>
      <c r="AB22" s="32"/>
      <c r="AC22" s="28"/>
      <c r="AD22" s="32"/>
      <c r="AE22" s="32"/>
      <c r="AF22" s="45"/>
      <c r="AG22" s="28"/>
      <c r="AH22" s="4"/>
      <c r="AI22" s="28"/>
      <c r="AJ22" s="51"/>
      <c r="AK22" s="28"/>
      <c r="AL22" s="28"/>
      <c r="AM22" s="28"/>
      <c r="AN22" s="28"/>
      <c r="AO22" s="47"/>
      <c r="AP22" s="47"/>
      <c r="AQ22" s="48"/>
      <c r="AR22" s="56"/>
      <c r="AS22" s="49"/>
      <c r="AT22" s="49"/>
      <c r="AU22" s="3"/>
      <c r="AV22" s="18">
        <v>900</v>
      </c>
      <c r="AW22" s="18">
        <v>2592000</v>
      </c>
      <c r="AX22" s="18">
        <v>5270400</v>
      </c>
      <c r="AY22" s="25"/>
      <c r="AZ22" s="25"/>
      <c r="BA22" s="25"/>
      <c r="BB22" s="25"/>
      <c r="BC22" s="25"/>
      <c r="BD22" s="25"/>
      <c r="BE22" s="25"/>
      <c r="BF22" s="25"/>
      <c r="BG22" s="25"/>
      <c r="BH22" s="25"/>
      <c r="BI22" s="25"/>
      <c r="BJ22" s="25"/>
      <c r="BK22" s="25"/>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1"/>
      <c r="CS22" s="1"/>
      <c r="CT22" s="1"/>
      <c r="CU22" s="1"/>
    </row>
    <row r="23" spans="1:99" s="9" customFormat="1" ht="12" customHeight="1" x14ac:dyDescent="0.2">
      <c r="A23" s="37">
        <v>43509</v>
      </c>
      <c r="B23" s="1" t="s">
        <v>62</v>
      </c>
      <c r="C23" s="1" t="s">
        <v>34</v>
      </c>
      <c r="D23" s="32">
        <v>1976</v>
      </c>
      <c r="E23" s="41">
        <v>2</v>
      </c>
      <c r="F23" s="32">
        <v>100</v>
      </c>
      <c r="G23" s="32">
        <v>33.299999999999997</v>
      </c>
      <c r="H23" s="32" t="s">
        <v>22</v>
      </c>
      <c r="I23" s="32" t="s">
        <v>82</v>
      </c>
      <c r="J23" s="32" t="s">
        <v>82</v>
      </c>
      <c r="K23" s="32">
        <f>IF(J23="syllables",1,IF(J23="trigrams",2,IF(J23="strings",3,IF(J23="visual array",4,IF(J23="characters",5,IF(J23="letters",6,IF(J23="free forms",7,IF(J23="odors",8,IF(J23="words",9,IF(J23="pictures",10,IF(J23="object pictures",11,IF(J23="faces",12,IF(J23="names",13,IF(J23="idioms",14,IF(J23="grades",15,IF(J23="syllable-digit pairs",16,IF(J23="trigram-word pairs",17,IF(J23="word-digit pairs",18,IF(J23="English-Swahili pairs",19,IF(J23="spatial position",20,IF(J23="word pairs",21,IF(J23="word triads",22,IF(J23="generated words",23,IF(J23="word definition pairs",24,IF(J23="math problems",25,IF(J23="famous faces",26,IF(J23="famous names",27,IF(J23="famous voices",28,IF(J23="television programs",29,IF(J23="race horses",30,IF(J23="new vocabulary",31,IF(J23="sentences",32,IF(J23="concepts",33,IF(J23="ad slides",34,IF(J23="scenes",35,IF(J23="famous scenes",36,IF(J23="poems",37,IF(J23="walk",38,IF(J23="faces and events",39,IF(J23="events and names",40,IF(J23="flashbulb",41,IF(J23="stories",42,IF(J23="course material",43,IF(J23="autobiographical",44,IF(J23="novels",45,IF(J23="public events",46,"99"))))))))))))))))))))))))))))))))))))))))))))))</f>
        <v>10</v>
      </c>
      <c r="L23" s="32">
        <f>IF(J23="syllables",1,IF(J23="trigrams",1,IF(J23="strings",1,IF(J23="visual array",1,IF(J23="characters",1,IF(J23="letters",1,IF(J23="free forms",1,IF(J23="odors",2,IF(J23="words",2,IF(J23="pictures",2,IF(J23="object pictures",2,IF(J23="faces",2,IF(J23="names",2,IF(J23="idioms","2",IF(J23="grades",2,IF(J23="syllable-digit pairs",3,IF(J23="trigram-word pairs",3,IF(J23="word-digit pairs",3,IF(J23="English-Swahili pairs",3,IF(J23="spatial position",3,IF(J23="word pairs",4,IF(J23="word triads",4,IF(J23="generated words",4,IF(J23="word definition pairs",4,IF(J23="math problems",4,IF(J23="famous faces",4,IF(J23="famous names",4,IF(J23="famous voices",4,IF(J23="television programs",4,IF(J23="race horses",4,IF(J23="new vocabulary",4,IF(J23="sentences",5,IF(J23="concepts",5,IF(J23="ad slides",5,IF(J23="scenes",5,IF(J23="famous scenes",5,IF(J23="poems",6,IF(J23="walk",6,IF(J23="faces and events",6,IF(J23="events and names",6,IF(J23="flashbulb",7,IF(J23="stories",7,IF(J23="course material",7,IF(J23="autobiographical",7,IF(J23="novels",7,IF(J23="public events",7,"99"))))))))))))))))))))))))))))))))))))))))))))))</f>
        <v>2</v>
      </c>
      <c r="M23" s="32">
        <v>0</v>
      </c>
      <c r="N23" s="32">
        <v>1</v>
      </c>
      <c r="O23" s="32">
        <v>0</v>
      </c>
      <c r="P23" s="32"/>
      <c r="Q23" s="32" t="s">
        <v>18</v>
      </c>
      <c r="R23" s="32">
        <f>IF(Q23="Free Recall",1,IF(Q23="Cued Recall",2,IF(Q23="Recognition",3,IF(Q23="Multiple Choice",4,IF(Q23="Savings",5,IF(Q23="Stem Completion",6,IF(Q23="Fragment Completion",7,IF(Q23="anagram solution",8,IF(Q23="Matching",9,IF(Q23="Problem Solving",10,"99"))))))))))</f>
        <v>3</v>
      </c>
      <c r="S23" s="77" t="s">
        <v>196</v>
      </c>
      <c r="T23" s="32" t="s">
        <v>72</v>
      </c>
      <c r="U23" s="32">
        <f>IF(T23="within",1,0)</f>
        <v>0</v>
      </c>
      <c r="V23" s="32">
        <v>70</v>
      </c>
      <c r="W23" s="32">
        <f>F23*V23</f>
        <v>7000</v>
      </c>
      <c r="X23" s="32">
        <v>3</v>
      </c>
      <c r="Y23" s="41">
        <f>AV22</f>
        <v>900</v>
      </c>
      <c r="Z23" s="32" t="s">
        <v>64</v>
      </c>
      <c r="AA23" s="32">
        <v>5270400</v>
      </c>
      <c r="AB23" s="32" t="str">
        <f>IF(AA23&lt;60,"1",IF(AA23&lt;=43200,"2",IF(AA23&lt;=777600,"3","4")))</f>
        <v>4</v>
      </c>
      <c r="AC23" s="28">
        <f>AVERAGE(AV22:DA22)</f>
        <v>2621100</v>
      </c>
      <c r="AD23" s="32" t="str">
        <f>IF(AC23&lt;60,"1",IF(AC23&lt;=43200,"2",IF(AC23&lt;=777600,"3","4")))</f>
        <v>4</v>
      </c>
      <c r="AE23" s="41">
        <f>AA23-Y23</f>
        <v>5269500</v>
      </c>
      <c r="AF23" s="45">
        <f>AV23</f>
        <v>2.9590711555147919</v>
      </c>
      <c r="AG23" s="28">
        <f>((AW23-AV23)+(AX23-AW23))/2</f>
        <v>-1.1062387191743159</v>
      </c>
      <c r="AH23" s="4"/>
      <c r="AI23" s="28">
        <f>RSQ(AV23:AX23,AV22:AX22)</f>
        <v>0.84816748886484983</v>
      </c>
      <c r="AJ23" s="51">
        <f>SLOPE(AV23:AX23,AV22:AX22)</f>
        <v>-4.1817246119506811E-7</v>
      </c>
      <c r="AK23" s="28">
        <f>INTERCEPT(AV23:AX23,AV22:AX22)</f>
        <v>2.6858502061348957</v>
      </c>
      <c r="AL23" s="28">
        <f>INDEX(LINEST(LN(AV23:AX23),LN(AV22:AX22),TRUE,TRUE),3,1)</f>
        <v>0.96922473602906667</v>
      </c>
      <c r="AM23" s="28">
        <f>INDEX(LINEST(LN(AV23:AX23),LN(AV22:AX22)),1)</f>
        <v>-0.14616358275273308</v>
      </c>
      <c r="AN23" s="28">
        <f>EXP(INDEX(LINEST(LN(AV23:AX23),LN(AV22:AX22)),1,2))</f>
        <v>8.0833740265803389</v>
      </c>
      <c r="AO23" s="47">
        <f>INDEX(LINEST((AV23:AX23),LN(AV22:AX22),TRUE,TRUE),3,1)</f>
        <v>0.99650278101702994</v>
      </c>
      <c r="AP23" s="47">
        <f>INDEX(LINEST((AV23:AX23),LN(AV22:AX22)),1)</f>
        <v>-0.24794127452799736</v>
      </c>
      <c r="AQ23" s="48">
        <f>INDEX(LINEST(LN(AV23:AX23),SQRT(AV22:AX22),TRUE,TRUE),3,1)</f>
        <v>0.99755265679833993</v>
      </c>
      <c r="AR23" s="56">
        <f>INDEX(LINEST(LN(AV23:AX23),SQRT((AV22:AX22))),1)</f>
        <v>-6.1473610817989023E-4</v>
      </c>
      <c r="AS23" s="49">
        <f>INDEX(LINEST(1/(AV23:AX23),1/(SQRT(AV22:AX22)),TRUE,TRUE),3,1)</f>
        <v>0.84673902093995757</v>
      </c>
      <c r="AT23" s="49">
        <f>INDEX(LINEST(1/(AV23:AX23),1/SQRT(AV22:AX22)),1)</f>
        <v>-24.493521246382539</v>
      </c>
      <c r="AU23" s="3"/>
      <c r="AV23" s="25">
        <v>2.9590711555147919</v>
      </c>
      <c r="AW23" s="25">
        <v>1.0636702316085569</v>
      </c>
      <c r="AX23" s="25">
        <v>0.74659371716615985</v>
      </c>
      <c r="AY23" s="25"/>
      <c r="AZ23" s="25"/>
      <c r="BA23" s="25"/>
      <c r="BB23" s="25"/>
      <c r="BC23" s="25"/>
      <c r="BD23" s="25"/>
      <c r="BE23" s="25"/>
      <c r="BF23" s="25"/>
      <c r="BG23" s="25"/>
      <c r="BH23" s="25"/>
      <c r="BI23" s="25"/>
      <c r="BJ23" s="25"/>
      <c r="BK23" s="25"/>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1"/>
      <c r="CS23" s="1"/>
      <c r="CT23" s="1"/>
      <c r="CU23" s="1"/>
    </row>
    <row r="24" spans="1:99" s="9" customFormat="1" ht="12" customHeight="1" x14ac:dyDescent="0.2">
      <c r="A24" s="37">
        <v>43509</v>
      </c>
      <c r="B24" s="1"/>
      <c r="C24" s="1"/>
      <c r="D24" s="32"/>
      <c r="E24" s="41"/>
      <c r="F24" s="32"/>
      <c r="G24" s="32"/>
      <c r="H24" s="32"/>
      <c r="I24" s="32"/>
      <c r="J24" s="32"/>
      <c r="K24" s="36"/>
      <c r="L24" s="36"/>
      <c r="M24" s="32"/>
      <c r="N24" s="32"/>
      <c r="O24" s="32"/>
      <c r="P24" s="32"/>
      <c r="Q24" s="32"/>
      <c r="R24" s="32"/>
      <c r="S24" s="32"/>
      <c r="T24" s="32"/>
      <c r="U24" s="32"/>
      <c r="V24" s="32"/>
      <c r="W24" s="32"/>
      <c r="X24" s="32"/>
      <c r="Y24" s="41"/>
      <c r="Z24" s="32"/>
      <c r="AA24" s="32"/>
      <c r="AB24" s="32"/>
      <c r="AC24" s="32"/>
      <c r="AD24" s="32"/>
      <c r="AE24" s="32"/>
      <c r="AF24" s="45"/>
      <c r="AG24" s="28"/>
      <c r="AH24" s="4"/>
      <c r="AI24" s="28"/>
      <c r="AJ24" s="51"/>
      <c r="AK24" s="28"/>
      <c r="AL24" s="28"/>
      <c r="AM24" s="28"/>
      <c r="AN24" s="28"/>
      <c r="AO24" s="28"/>
      <c r="AP24" s="28"/>
      <c r="AQ24" s="28"/>
      <c r="AR24" s="51"/>
      <c r="AS24" s="28"/>
      <c r="AT24" s="28"/>
      <c r="AU24" s="5"/>
      <c r="AV24" s="18">
        <v>30</v>
      </c>
      <c r="AW24" s="18">
        <f>60*20</f>
        <v>1200</v>
      </c>
      <c r="AX24" s="18">
        <f>60*90</f>
        <v>5400</v>
      </c>
      <c r="AY24" s="25"/>
      <c r="AZ24" s="25"/>
      <c r="BA24" s="25"/>
      <c r="BB24" s="25"/>
      <c r="BC24" s="25"/>
      <c r="BD24" s="25"/>
      <c r="BE24" s="25"/>
      <c r="BF24" s="25"/>
      <c r="BG24" s="25"/>
      <c r="BH24" s="25"/>
      <c r="BI24" s="25"/>
      <c r="BJ24" s="25"/>
      <c r="BK24" s="25"/>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1"/>
      <c r="CS24" s="1"/>
      <c r="CT24" s="1"/>
      <c r="CU24" s="1"/>
    </row>
    <row r="25" spans="1:99" s="9" customFormat="1" ht="12" customHeight="1" x14ac:dyDescent="0.2">
      <c r="A25" s="37">
        <v>43509</v>
      </c>
      <c r="B25" s="1" t="s">
        <v>69</v>
      </c>
      <c r="C25" s="1" t="s">
        <v>29</v>
      </c>
      <c r="D25" s="32">
        <v>1984</v>
      </c>
      <c r="E25" s="41">
        <v>2</v>
      </c>
      <c r="F25" s="32">
        <v>48</v>
      </c>
      <c r="G25" s="32">
        <v>48</v>
      </c>
      <c r="H25" s="32" t="s">
        <v>22</v>
      </c>
      <c r="I25" s="32"/>
      <c r="J25" s="32" t="s">
        <v>12</v>
      </c>
      <c r="K25" s="32">
        <f>IF(J25="syllables",1,IF(J25="trigrams",2,IF(J25="strings",3,IF(J25="visual array",4,IF(J25="characters",5,IF(J25="letters",6,IF(J25="free forms",7,IF(J25="odors",8,IF(J25="words",9,IF(J25="pictures",10,IF(J25="object pictures",11,IF(J25="faces",12,IF(J25="names",13,IF(J25="idioms",14,IF(J25="grades",15,IF(J25="syllable-digit pairs",16,IF(J25="trigram-word pairs",17,IF(J25="word-digit pairs",18,IF(J25="English-Swahili pairs",19,IF(J25="spatial position",20,IF(J25="word pairs",21,IF(J25="word triads",22,IF(J25="generated words",23,IF(J25="word definition pairs",24,IF(J25="math problems",25,IF(J25="famous faces",26,IF(J25="famous names",27,IF(J25="famous voices",28,IF(J25="television programs",29,IF(J25="race horses",30,IF(J25="new vocabulary",31,IF(J25="sentences",32,IF(J25="concepts",33,IF(J25="ad slides",34,IF(J25="scenes",35,IF(J25="famous scenes",36,IF(J25="poems",37,IF(J25="walk",38,IF(J25="faces and events",39,IF(J25="events and names",40,IF(J25="flashbulb",41,IF(J25="stories",42,IF(J25="course material",43,IF(J25="autobiographical",44,IF(J25="novels",45,IF(J25="public events",46,"99"))))))))))))))))))))))))))))))))))))))))))))))</f>
        <v>9</v>
      </c>
      <c r="L25" s="32">
        <f>IF(J25="syllables",1,IF(J25="trigrams",1,IF(J25="strings",1,IF(J25="visual array",1,IF(J25="characters",1,IF(J25="letters",1,IF(J25="free forms",1,IF(J25="odors",2,IF(J25="words",2,IF(J25="pictures",2,IF(J25="object pictures",2,IF(J25="faces",2,IF(J25="names",2,IF(J25="idioms","2",IF(J25="grades",2,IF(J25="syllable-digit pairs",3,IF(J25="trigram-word pairs",3,IF(J25="word-digit pairs",3,IF(J25="English-Swahili pairs",3,IF(J25="spatial position",3,IF(J25="word pairs",4,IF(J25="word triads",4,IF(J25="generated words",4,IF(J25="word definition pairs",4,IF(J25="math problems",4,IF(J25="famous faces",4,IF(J25="famous names",4,IF(J25="famous voices",4,IF(J25="television programs",4,IF(J25="race horses",4,IF(J25="new vocabulary",4,IF(J25="sentences",5,IF(J25="concepts",5,IF(J25="ad slides",5,IF(J25="scenes",5,IF(J25="famous scenes",5,IF(J25="poems",6,IF(J25="walk",6,IF(J25="faces and events",6,IF(J25="events and names",6,IF(J25="flashbulb",7,IF(J25="stories",7,IF(J25="course material",7,IF(J25="autobiographical",7,IF(J25="novels",7,IF(J25="public events",7,"99"))))))))))))))))))))))))))))))))))))))))))))))</f>
        <v>2</v>
      </c>
      <c r="M25" s="32">
        <v>1</v>
      </c>
      <c r="N25" s="32">
        <v>1</v>
      </c>
      <c r="O25" s="32">
        <v>0</v>
      </c>
      <c r="P25" s="32"/>
      <c r="Q25" s="32" t="s">
        <v>18</v>
      </c>
      <c r="R25" s="32">
        <f>IF(Q25="Free Recall",1,IF(Q25="Cued Recall",2,IF(Q25="Recognition",3,IF(Q25="Multiple Choice",4,IF(Q25="Savings",5,IF(Q25="Stem Completion",6,IF(Q25="Fragment Completion",7,IF(Q25="anagram solution",8,IF(Q25="Matching",9,IF(Q25="Problem Solving",10,"99"))))))))))</f>
        <v>3</v>
      </c>
      <c r="S25" s="31" t="s">
        <v>196</v>
      </c>
      <c r="T25" s="31" t="s">
        <v>132</v>
      </c>
      <c r="U25" s="32">
        <f>IF(T25="within",1,0)</f>
        <v>1</v>
      </c>
      <c r="V25" s="31">
        <v>20</v>
      </c>
      <c r="W25" s="32">
        <f>F25*V25</f>
        <v>960</v>
      </c>
      <c r="X25" s="32">
        <v>3</v>
      </c>
      <c r="Y25" s="41">
        <f>AV24</f>
        <v>30</v>
      </c>
      <c r="Z25" s="32" t="s">
        <v>30</v>
      </c>
      <c r="AA25" s="32">
        <v>5400</v>
      </c>
      <c r="AB25" s="32" t="str">
        <f>IF(AA25&lt;60,"1",IF(AA25&lt;=43200,"2",IF(AA25&lt;=777600,"3","4")))</f>
        <v>2</v>
      </c>
      <c r="AC25" s="28">
        <f>AVERAGE(AV24:DA24)</f>
        <v>2210</v>
      </c>
      <c r="AD25" s="32" t="str">
        <f>IF(AC25&lt;60,"1",IF(AC25&lt;=43200,"2",IF(AC25&lt;=777600,"3","4")))</f>
        <v>2</v>
      </c>
      <c r="AE25" s="41">
        <f>AA25-Y25</f>
        <v>5370</v>
      </c>
      <c r="AF25" s="45">
        <f>AV25</f>
        <v>1.4298103922061869</v>
      </c>
      <c r="AG25" s="28">
        <f>((AW25-AV25)+(AX25-AW25))/2</f>
        <v>-9.6774797070740437E-2</v>
      </c>
      <c r="AH25" s="4"/>
      <c r="AI25" s="28">
        <f>RSQ(AV25:AX25,AV24:AX24)</f>
        <v>0.89373372197962242</v>
      </c>
      <c r="AJ25" s="51">
        <f>SLOPE(AV25:AX25,AV24:AX24)</f>
        <v>-3.2402891110009627E-5</v>
      </c>
      <c r="AK25" s="28">
        <f>INTERCEPT(AV25:AX25,AV24:AX24)</f>
        <v>1.4036889181147139</v>
      </c>
      <c r="AL25" s="28">
        <f>INDEX(LINEST(LN(AV25:AX25),LN(AV24:AX24),TRUE,TRUE),3,1)</f>
        <v>0.94250149680783346</v>
      </c>
      <c r="AM25" s="28">
        <f>INDEX(LINEST(LN(AV25:AX25),LN(AV24:AX24)),1)</f>
        <v>-2.6423856011413897E-2</v>
      </c>
      <c r="AN25" s="28">
        <f>EXP(INDEX(LINEST(LN(AV25:AX25),LN(AV24:AX24)),1,2))</f>
        <v>1.573153355436701</v>
      </c>
      <c r="AO25" s="47">
        <f>INDEX(LINEST((AV25:AX25),LN(AV24:AX24),TRUE,TRUE),3,1)</f>
        <v>0.95187947550858654</v>
      </c>
      <c r="AP25" s="47">
        <f>INDEX(LINEST((AV25:AX25),LN(AV24:AX24)),1)</f>
        <v>-3.5341392562013366E-2</v>
      </c>
      <c r="AQ25" s="48">
        <f>INDEX(LINEST(LN(AV25:AX25),SQRT(AV24:AX24),TRUE,TRUE),3,1)</f>
        <v>0.99390726730509671</v>
      </c>
      <c r="AR25" s="56">
        <f>INDEX(LINEST(LN(AV25:AX25),SQRT((AV24:AX24))),1)</f>
        <v>-2.1250702968678365E-3</v>
      </c>
      <c r="AS25" s="49">
        <f>INDEX(LINEST(1/(AV25:AX25),1/(SQRT(AV24:AX24)),TRUE,TRUE),3,1)</f>
        <v>0.79754817111693621</v>
      </c>
      <c r="AT25" s="49">
        <f>INDEX(LINEST(1/(AV25:AX25),1/SQRT(AV24:AX24)),1)</f>
        <v>-0.52331438833955501</v>
      </c>
      <c r="AU25" s="3"/>
      <c r="AV25" s="25">
        <v>1.4298103922061869</v>
      </c>
      <c r="AW25" s="25">
        <v>1.3301643960138854</v>
      </c>
      <c r="AX25" s="25">
        <v>1.236260798064706</v>
      </c>
      <c r="AY25" s="25"/>
      <c r="AZ25" s="25"/>
      <c r="BA25" s="25"/>
      <c r="BB25" s="25"/>
      <c r="BC25" s="25"/>
      <c r="BD25" s="25"/>
      <c r="BE25" s="25"/>
      <c r="BF25" s="25"/>
      <c r="BG25" s="25"/>
      <c r="BH25" s="25"/>
      <c r="BI25" s="25"/>
      <c r="BJ25" s="25"/>
      <c r="BK25" s="25"/>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1"/>
      <c r="CS25" s="1"/>
      <c r="CT25" s="1"/>
      <c r="CU25" s="1"/>
    </row>
    <row r="26" spans="1:99" s="9" customFormat="1" ht="12" customHeight="1" x14ac:dyDescent="0.2">
      <c r="A26" s="37">
        <v>43509</v>
      </c>
      <c r="B26" s="1"/>
      <c r="C26" s="1"/>
      <c r="D26" s="32"/>
      <c r="E26" s="41"/>
      <c r="F26" s="32"/>
      <c r="G26" s="32"/>
      <c r="H26" s="32"/>
      <c r="I26" s="32"/>
      <c r="J26" s="32"/>
      <c r="K26" s="36"/>
      <c r="L26" s="36"/>
      <c r="M26" s="32"/>
      <c r="N26" s="32"/>
      <c r="O26" s="32"/>
      <c r="P26" s="32"/>
      <c r="Q26" s="32"/>
      <c r="R26" s="32"/>
      <c r="S26" s="32"/>
      <c r="T26" s="32"/>
      <c r="U26" s="32"/>
      <c r="V26" s="32"/>
      <c r="W26" s="32"/>
      <c r="X26" s="32"/>
      <c r="Y26" s="41"/>
      <c r="Z26" s="32"/>
      <c r="AA26" s="32"/>
      <c r="AB26" s="32"/>
      <c r="AC26" s="32"/>
      <c r="AD26" s="32"/>
      <c r="AE26" s="32"/>
      <c r="AF26" s="45"/>
      <c r="AG26" s="28"/>
      <c r="AH26" s="4"/>
      <c r="AI26" s="28"/>
      <c r="AJ26" s="51"/>
      <c r="AK26" s="28"/>
      <c r="AL26" s="28"/>
      <c r="AM26" s="28"/>
      <c r="AN26" s="28"/>
      <c r="AO26" s="28"/>
      <c r="AP26" s="28"/>
      <c r="AQ26" s="28"/>
      <c r="AR26" s="51"/>
      <c r="AS26" s="28"/>
      <c r="AT26" s="28"/>
      <c r="AU26" s="5"/>
      <c r="AV26" s="18">
        <v>62</v>
      </c>
      <c r="AW26" s="18">
        <f>3600*1</f>
        <v>3600</v>
      </c>
      <c r="AX26" s="18">
        <f>3600*24</f>
        <v>86400</v>
      </c>
      <c r="AY26" s="25"/>
      <c r="AZ26" s="25"/>
      <c r="BA26" s="25"/>
      <c r="BB26" s="25"/>
      <c r="BC26" s="25"/>
      <c r="BD26" s="25"/>
      <c r="BE26" s="25"/>
      <c r="BF26" s="25"/>
      <c r="BG26" s="25"/>
      <c r="BH26" s="25"/>
      <c r="BI26" s="25"/>
      <c r="BJ26" s="25"/>
      <c r="BK26" s="25"/>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1"/>
      <c r="CS26" s="1"/>
      <c r="CT26" s="1"/>
      <c r="CU26" s="1"/>
    </row>
    <row r="27" spans="1:99" s="9" customFormat="1" ht="12" customHeight="1" x14ac:dyDescent="0.2">
      <c r="A27" s="37">
        <v>43509</v>
      </c>
      <c r="B27" s="1" t="s">
        <v>38</v>
      </c>
      <c r="C27" s="1" t="s">
        <v>26</v>
      </c>
      <c r="D27" s="32">
        <v>1988</v>
      </c>
      <c r="E27" s="41">
        <v>3</v>
      </c>
      <c r="F27" s="32">
        <v>48</v>
      </c>
      <c r="G27" s="32">
        <v>16</v>
      </c>
      <c r="H27" s="32" t="s">
        <v>15</v>
      </c>
      <c r="I27" s="32" t="s">
        <v>136</v>
      </c>
      <c r="J27" s="32" t="s">
        <v>12</v>
      </c>
      <c r="K27" s="32">
        <f>IF(J27="syllables",1,IF(J27="trigrams",2,IF(J27="strings",3,IF(J27="visual array",4,IF(J27="characters",5,IF(J27="letters",6,IF(J27="free forms",7,IF(J27="odors",8,IF(J27="words",9,IF(J27="pictures",10,IF(J27="object pictures",11,IF(J27="faces",12,IF(J27="names",13,IF(J27="idioms",14,IF(J27="grades",15,IF(J27="syllable-digit pairs",16,IF(J27="trigram-word pairs",17,IF(J27="word-digit pairs",18,IF(J27="English-Swahili pairs",19,IF(J27="spatial position",20,IF(J27="word pairs",21,IF(J27="word triads",22,IF(J27="generated words",23,IF(J27="word definition pairs",24,IF(J27="math problems",25,IF(J27="famous faces",26,IF(J27="famous names",27,IF(J27="famous voices",28,IF(J27="television programs",29,IF(J27="race horses",30,IF(J27="new vocabulary",31,IF(J27="sentences",32,IF(J27="concepts",33,IF(J27="ad slides",34,IF(J27="scenes",35,IF(J27="famous scenes",36,IF(J27="poems",37,IF(J27="walk",38,IF(J27="faces and events",39,IF(J27="events and names",40,IF(J27="flashbulb",41,IF(J27="stories",42,IF(J27="course material",43,IF(J27="autobiographical",44,IF(J27="novels",45,IF(J27="public events",46,"99"))))))))))))))))))))))))))))))))))))))))))))))</f>
        <v>9</v>
      </c>
      <c r="L27" s="32">
        <f>IF(J27="syllables",1,IF(J27="trigrams",1,IF(J27="strings",1,IF(J27="visual array",1,IF(J27="characters",1,IF(J27="letters",1,IF(J27="free forms",1,IF(J27="odors",2,IF(J27="words",2,IF(J27="pictures",2,IF(J27="object pictures",2,IF(J27="faces",2,IF(J27="names",2,IF(J27="idioms","2",IF(J27="grades",2,IF(J27="syllable-digit pairs",3,IF(J27="trigram-word pairs",3,IF(J27="word-digit pairs",3,IF(J27="English-Swahili pairs",3,IF(J27="spatial position",3,IF(J27="word pairs",4,IF(J27="word triads",4,IF(J27="generated words",4,IF(J27="word definition pairs",4,IF(J27="math problems",4,IF(J27="famous faces",4,IF(J27="famous names",4,IF(J27="famous voices",4,IF(J27="television programs",4,IF(J27="race horses",4,IF(J27="new vocabulary",4,IF(J27="sentences",5,IF(J27="concepts",5,IF(J27="ad slides",5,IF(J27="scenes",5,IF(J27="famous scenes",5,IF(J27="poems",6,IF(J27="walk",6,IF(J27="faces and events",6,IF(J27="events and names",6,IF(J27="flashbulb",7,IF(J27="stories",7,IF(J27="course material",7,IF(J27="autobiographical",7,IF(J27="novels",7,IF(J27="public events",7,"99"))))))))))))))))))))))))))))))))))))))))))))))</f>
        <v>2</v>
      </c>
      <c r="M27" s="32">
        <v>0</v>
      </c>
      <c r="N27" s="32">
        <v>1</v>
      </c>
      <c r="O27" s="32">
        <v>0</v>
      </c>
      <c r="P27" s="32"/>
      <c r="Q27" s="32" t="s">
        <v>18</v>
      </c>
      <c r="R27" s="32">
        <f>IF(Q27="Free Recall",1,IF(Q27="Cued Recall",2,IF(Q27="Recognition",3,IF(Q27="Multiple Choice",4,IF(Q27="Savings",5,IF(Q27="Stem Completion",6,IF(Q27="Fragment Completion",7,IF(Q27="anagram solution",8,IF(Q27="Matching",9,IF(Q27="Problem Solving",10,"99"))))))))))</f>
        <v>3</v>
      </c>
      <c r="S27" s="31" t="s">
        <v>196</v>
      </c>
      <c r="T27" s="31" t="s">
        <v>72</v>
      </c>
      <c r="U27" s="32">
        <f>IF(T27="within",1,0)</f>
        <v>0</v>
      </c>
      <c r="V27" s="31">
        <v>27</v>
      </c>
      <c r="W27" s="32">
        <f>F27*V27</f>
        <v>1296</v>
      </c>
      <c r="X27" s="32">
        <v>3</v>
      </c>
      <c r="Y27" s="41">
        <f>AV26</f>
        <v>62</v>
      </c>
      <c r="Z27" s="32" t="s">
        <v>37</v>
      </c>
      <c r="AA27" s="32">
        <v>86400</v>
      </c>
      <c r="AB27" s="32" t="str">
        <f>IF(AA27&lt;60,"1",IF(AA27&lt;=43200,"2",IF(AA27&lt;=777600,"3","4")))</f>
        <v>3</v>
      </c>
      <c r="AC27" s="28">
        <f>AVERAGE(AV26:DA26)</f>
        <v>30020.666666666668</v>
      </c>
      <c r="AD27" s="32" t="str">
        <f>IF(AC27&lt;60,"1",IF(AC27&lt;=43200,"2",IF(AC27&lt;=777600,"3","4")))</f>
        <v>2</v>
      </c>
      <c r="AE27" s="41">
        <f>AA27-Y27</f>
        <v>86338</v>
      </c>
      <c r="AF27" s="45">
        <f>AV27</f>
        <v>2.69</v>
      </c>
      <c r="AG27" s="28">
        <f>((AW27-AV27)+(AX27-AW27))/2</f>
        <v>-0.745</v>
      </c>
      <c r="AH27" s="4"/>
      <c r="AI27" s="28">
        <f>RSQ(AV27:AX27,AV26:AX26)</f>
        <v>0.45221348664819838</v>
      </c>
      <c r="AJ27" s="51">
        <f>SLOPE(AV27:AX27,AV26:AX26)</f>
        <v>-1.0899453744780949E-5</v>
      </c>
      <c r="AK27" s="28">
        <f>INTERCEPT(AV27:AX27,AV26:AX26)</f>
        <v>2.1172088677208207</v>
      </c>
      <c r="AL27" s="28">
        <f>INDEX(LINEST(LN(AV27:AX27),LN(AV26:AX26),TRUE,TRUE),3,1)</f>
        <v>0.96044879000732675</v>
      </c>
      <c r="AM27" s="28">
        <f>INDEX(LINEST(LN(AV27:AX27),LN(AV26:AX26)),1)</f>
        <v>-0.11311780708734026</v>
      </c>
      <c r="AN27" s="28">
        <f>EXP(INDEX(LINEST(LN(AV27:AX27),LN(AV26:AX26)),1,2))</f>
        <v>4.11350285194934</v>
      </c>
      <c r="AO27" s="47">
        <f>INDEX(LINEST((AV27:AX27),LN(AV26:AX26),TRUE,TRUE),3,1)</f>
        <v>0.92598397975793523</v>
      </c>
      <c r="AP27" s="47">
        <f>INDEX(LINEST((AV27:AX27),LN(AV26:AX26)),1)</f>
        <v>-0.20999536965176585</v>
      </c>
      <c r="AQ27" s="48">
        <f>INDEX(LINEST(LN(AV27:AX27),SQRT(AV26:AX26),TRUE,TRUE),3,1)</f>
        <v>0.66027741375325677</v>
      </c>
      <c r="AR27" s="56">
        <f>INDEX(LINEST(LN(AV27:AX27),SQRT((AV26:AX26))),1)</f>
        <v>-2.2338429186627966E-3</v>
      </c>
      <c r="AS27" s="49">
        <f>INDEX(LINEST(1/(AV27:AX27),1/(SQRT(AV26:AX26)),TRUE,TRUE),3,1)</f>
        <v>0.94128558438530763</v>
      </c>
      <c r="AT27" s="49">
        <f>INDEX(LINEST(1/(AV27:AX27),1/SQRT(AV26:AX26)),1)</f>
        <v>-3.3546739166795008</v>
      </c>
      <c r="AU27" s="3"/>
      <c r="AV27" s="25">
        <v>2.69</v>
      </c>
      <c r="AW27" s="25">
        <v>1.48</v>
      </c>
      <c r="AX27" s="25">
        <v>1.2</v>
      </c>
      <c r="AY27" s="25"/>
      <c r="AZ27" s="25"/>
      <c r="BA27" s="25"/>
      <c r="BB27" s="25"/>
      <c r="BC27" s="25"/>
      <c r="BD27" s="25"/>
      <c r="BE27" s="25"/>
      <c r="BF27" s="25"/>
      <c r="BG27" s="25"/>
      <c r="BH27" s="25"/>
      <c r="BI27" s="25"/>
      <c r="BJ27" s="25"/>
      <c r="BK27" s="25"/>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1"/>
      <c r="CS27" s="1"/>
      <c r="CT27" s="1"/>
      <c r="CU27" s="1"/>
    </row>
    <row r="28" spans="1:99" s="68" customFormat="1" ht="12" customHeight="1" x14ac:dyDescent="0.2">
      <c r="A28" s="94">
        <v>43509</v>
      </c>
      <c r="B28" s="95"/>
      <c r="C28" s="95"/>
      <c r="D28" s="96"/>
      <c r="E28" s="97"/>
      <c r="F28" s="96"/>
      <c r="G28" s="96"/>
      <c r="H28" s="96"/>
      <c r="I28" s="96"/>
      <c r="J28" s="96"/>
      <c r="K28" s="102"/>
      <c r="L28" s="102"/>
      <c r="M28" s="96"/>
      <c r="N28" s="96"/>
      <c r="O28" s="96"/>
      <c r="P28" s="96"/>
      <c r="Q28" s="96"/>
      <c r="R28" s="77"/>
      <c r="S28" s="96"/>
      <c r="T28" s="96"/>
      <c r="U28" s="32"/>
      <c r="V28" s="96"/>
      <c r="W28" s="77"/>
      <c r="X28" s="96"/>
      <c r="Y28" s="98"/>
      <c r="Z28" s="96"/>
      <c r="AA28" s="96"/>
      <c r="AB28" s="77"/>
      <c r="AC28" s="77"/>
      <c r="AD28" s="77"/>
      <c r="AE28" s="77"/>
      <c r="AF28" s="99"/>
      <c r="AG28" s="100"/>
      <c r="AH28" s="84"/>
      <c r="AI28" s="49"/>
      <c r="AJ28" s="56"/>
      <c r="AK28" s="49"/>
      <c r="AL28" s="49"/>
      <c r="AM28" s="49"/>
      <c r="AN28" s="49"/>
      <c r="AO28" s="49"/>
      <c r="AP28" s="49"/>
      <c r="AQ28" s="100"/>
      <c r="AR28" s="105"/>
      <c r="AS28" s="100"/>
      <c r="AT28" s="100"/>
      <c r="AU28" s="62"/>
      <c r="AV28" s="108">
        <v>0.5</v>
      </c>
      <c r="AW28" s="107">
        <v>4</v>
      </c>
      <c r="AX28" s="107">
        <v>12</v>
      </c>
      <c r="AY28" s="107">
        <v>24</v>
      </c>
      <c r="AZ28" s="108"/>
      <c r="BA28" s="108"/>
      <c r="BB28" s="108"/>
      <c r="BC28" s="108"/>
      <c r="BD28" s="108"/>
      <c r="BE28" s="108"/>
      <c r="BF28" s="108"/>
      <c r="BG28" s="108"/>
      <c r="BH28" s="108"/>
      <c r="BI28" s="108"/>
      <c r="BJ28" s="108"/>
      <c r="BK28" s="108"/>
      <c r="BL28" s="93"/>
      <c r="BM28" s="93"/>
      <c r="BN28" s="93"/>
      <c r="BO28" s="93"/>
      <c r="BP28" s="93"/>
      <c r="BQ28" s="93"/>
      <c r="BR28" s="93"/>
      <c r="BS28" s="93"/>
      <c r="BT28" s="93"/>
      <c r="BU28" s="93"/>
      <c r="BV28" s="93"/>
      <c r="BW28" s="93"/>
      <c r="BX28" s="93"/>
      <c r="BY28" s="93"/>
      <c r="BZ28" s="93"/>
      <c r="CA28" s="93"/>
      <c r="CB28" s="93"/>
      <c r="CC28" s="93"/>
      <c r="CD28" s="93"/>
      <c r="CE28" s="93"/>
      <c r="CF28" s="93"/>
      <c r="CG28" s="93"/>
      <c r="CH28" s="93"/>
      <c r="CI28" s="93"/>
      <c r="CJ28" s="93"/>
      <c r="CK28" s="93"/>
      <c r="CL28" s="93"/>
      <c r="CM28" s="93"/>
      <c r="CN28" s="93"/>
      <c r="CO28" s="93"/>
      <c r="CP28" s="93"/>
      <c r="CQ28" s="93"/>
      <c r="CR28" s="92"/>
      <c r="CS28" s="92"/>
      <c r="CT28" s="92"/>
      <c r="CU28" s="92"/>
    </row>
    <row r="29" spans="1:99" s="68" customFormat="1" ht="12" customHeight="1" x14ac:dyDescent="0.2">
      <c r="A29" s="94">
        <v>43509</v>
      </c>
      <c r="B29" s="95" t="s">
        <v>198</v>
      </c>
      <c r="C29" s="95" t="s">
        <v>199</v>
      </c>
      <c r="D29" s="96">
        <v>2005</v>
      </c>
      <c r="E29" s="97">
        <v>1</v>
      </c>
      <c r="F29" s="96">
        <v>5</v>
      </c>
      <c r="G29" s="96">
        <v>5</v>
      </c>
      <c r="H29" s="96" t="s">
        <v>24</v>
      </c>
      <c r="I29" s="96" t="s">
        <v>89</v>
      </c>
      <c r="J29" s="96" t="s">
        <v>82</v>
      </c>
      <c r="K29" s="77" t="str">
        <f>IF(J29="syllables","1",IF(J29="trigrams","2",IF(J29="strings","3",IF(J29="visual array","4",IF(J29="characters","5",IF(J29="letters","6",IF(J29="free forms","7",IF(J29="odors","8",IF(J29="words","9",IF(J29="pictures","10",IF(J29="object pictures","11",IF(J29="faces","12",IF(J29="names","13",IF(J29="idioms","14",IF(J29="grades","15",IF(J29="syllable-digit pairs","16",IF(J29="trigram-word pairs","17",IF(J29="word-digit pairs","18",IF(J29="English-Swahili pairs","19",IF(J29="spatial position","20",IF(J29="word pairs","21",IF(J29="word triads","22",IF(J29="generated words","23",IF(J29="word definition pairs","24",IF(J29="math problems","25",IF(J29="famous faces","26",IF(J29="famous names","27",IF(J29="famous voices","28",IF(J29="television programs","29",IF(J29="race horses","30",IF(J29="new vocabulary","31",IF(J29="sentences","32",IF(J29="concepts","33",IF(J29="ad slides","34",IF(J29="scenes","35",IF(J29="famous scenes","36",IF(J29="poems","37",IF(J29="walk","38",IF(J29="faces and events","39",IF(J29="events and names","40",IF(J29="flashbulb","41",IF(J29="stories","42",IF(J29="course material","43",IF(J29="autobiographical","44",IF(J29="novels","45",IF(J29="public events","46",IF(J29="order","90","99")))))))))))))))))))))))))))))))))))))))))))))))</f>
        <v>10</v>
      </c>
      <c r="L29" s="77" t="str">
        <f>IF(J29="syllables","1",IF(J29="trigrams","1",IF(J29="strings","1",IF(J29="visual array","1",IF(J29="characters","1",IF(J29="letters","1",IF(J29="free forms","1",IF(J29="odors","2",IF(J29="words","2",IF(J29="pictures","2",IF(J29="object pictures","2",IF(J29="faces","2",IF(J29="names","2",IF(J29="idioms","2",IF(J29="grades","2",IF(J29="syllable-digit pairs","3",IF(J29="trigram-word pairs","3",IF(J29="word-digit pairs","3",IF(J29="English-Swahili pairs","3",IF(J29="spatial position","3",IF(J29="word pairs","4",IF(J29="word triads","4",IF(J29="generated words","4",IF(J29="word definition pairs","4",IF(J29="math problems","4",IF(J29="famous faces","4",IF(J29="famous names","4",IF(J29="famous voices","4",IF(J29="television programs","4",IF(J29="race horses","4",IF(J29="new vocabulary","4",IF(J29="sentences","5",IF(J29="concepts","5",IF(J29="ad slides","5",IF(J29="scenes","5",IF(J29="famous scenes","5",IF(J29="poems","6",IF(J29="walk","6",IF(J29="faces and events","6",IF(J29="events and names","6",IF(J29="flashbulb","7",IF(J29="stories","7",IF(J29="course material","7",IF(J29="autobiographical","7",IF(J29="novels","7",IF(J29="public events","7",IF(J29="order","90","99")))))))))))))))))))))))))))))))))))))))))))))))</f>
        <v>2</v>
      </c>
      <c r="M29" s="96" t="s">
        <v>195</v>
      </c>
      <c r="N29" s="96">
        <v>1</v>
      </c>
      <c r="O29" s="96" t="s">
        <v>195</v>
      </c>
      <c r="P29" s="96"/>
      <c r="Q29" s="96" t="s">
        <v>18</v>
      </c>
      <c r="R29" s="77" t="str">
        <f>IF(Q29="Free Recall","1",IF(Q29="Cued Recall","2",IF(Q29="Recognition","3",IF(Q29="Multiple Choice","4",IF(Q29="Savings","5",IF(Q29="Stem Completion","6",IF(Q29="Fragment Completion","7",IF(Q29="anagram solution","8",IF(Q29="Matching","9",IF(Q29="Problem Solving","10","99"))))))))))</f>
        <v>3</v>
      </c>
      <c r="S29" s="77" t="s">
        <v>196</v>
      </c>
      <c r="T29" s="96" t="s">
        <v>132</v>
      </c>
      <c r="U29" s="32">
        <f>IF(T29="within",1,0)</f>
        <v>1</v>
      </c>
      <c r="V29" s="96">
        <v>128</v>
      </c>
      <c r="W29" s="77">
        <f>F29*V29</f>
        <v>640</v>
      </c>
      <c r="X29" s="96">
        <v>4</v>
      </c>
      <c r="Y29" s="98">
        <f>AV28</f>
        <v>0.5</v>
      </c>
      <c r="Z29" s="96" t="s">
        <v>200</v>
      </c>
      <c r="AA29" s="96">
        <v>24</v>
      </c>
      <c r="AB29" s="77" t="str">
        <f>IF(AA29&lt;60,"1",IF(AA29&lt;=43200,"2",IF(AA29&lt;=777600,"3","4")))</f>
        <v>1</v>
      </c>
      <c r="AC29" s="100">
        <f>AVERAGE(AV28:DA28)</f>
        <v>10.125</v>
      </c>
      <c r="AD29" s="77" t="str">
        <f>IF(AC29&lt;60,"1",IF(AC29&lt;=43200,"2",IF(AC29&lt;=777600,"3","4")))</f>
        <v>1</v>
      </c>
      <c r="AE29" s="98">
        <f>AA29-Y29</f>
        <v>23.5</v>
      </c>
      <c r="AF29" s="99">
        <f>AV29</f>
        <v>1.5</v>
      </c>
      <c r="AG29" s="100">
        <f>((AW29-AV29)+(AX29-AW29)+(AY29-AX29))/3</f>
        <v>-7.333333333333332E-2</v>
      </c>
      <c r="AH29" s="84"/>
      <c r="AI29" s="100">
        <f>RSQ(AV29:AY29,AV28:AY28)</f>
        <v>0.65021461825456972</v>
      </c>
      <c r="AJ29" s="105">
        <f>SLOPE(AV29:AY29,AV28:AY28)</f>
        <v>-7.6911285686913199E-3</v>
      </c>
      <c r="AK29" s="100">
        <f>INTERCEPT(AV29:AY29,AV28:AY28)</f>
        <v>1.4353726767579997</v>
      </c>
      <c r="AL29" s="100">
        <f>INDEX(LINEST(LN(AV29:AY29),LN(AV28:AY28),TRUE,TRUE),3,1)</f>
        <v>0.98084976355023101</v>
      </c>
      <c r="AM29" s="100">
        <f>INDEX(LINEST(LN(AV29:AY29),LN(AV28:AY28)),1)</f>
        <v>-4.1840702811851621E-2</v>
      </c>
      <c r="AN29" s="100">
        <f>EXP(INDEX(LINEST(LN(AV29:AY29),LN(AV28:AY28)),1,2))</f>
        <v>1.4480017661175297</v>
      </c>
      <c r="AO29" s="104">
        <f>INDEX(LINEST((AV29:AY29),LN(AV28:AY28),TRUE,TRUE),3,1)</f>
        <v>0.97576429961953848</v>
      </c>
      <c r="AP29" s="104">
        <f>INDEX(LINEST((AV29:AY29),LN(AV28:AY28)),1)</f>
        <v>-5.8103120793874093E-2</v>
      </c>
      <c r="AQ29" s="48">
        <f>INDEX(LINEST(LN(AV29:AY29),SQRT(AV28:AY28),TRUE,TRUE),3,1)</f>
        <v>0.84348377618164061</v>
      </c>
      <c r="AR29" s="56">
        <f>INDEX(LINEST(LN(AV29:AY29),SQRT((AV28:AY28))),1)</f>
        <v>-3.6183100196857068E-2</v>
      </c>
      <c r="AS29" s="49">
        <f>INDEX(LINEST(1/(AV29:AY29),1/(SQRT(AV28:AY28)),TRUE,TRUE),3,1)</f>
        <v>0.98775167810129105</v>
      </c>
      <c r="AT29" s="49">
        <f>INDEX(LINEST(1/(AV29:AY29),1/SQRT(AV28:AY28)),1)</f>
        <v>-9.1962074627501778E-2</v>
      </c>
      <c r="AU29" s="63"/>
      <c r="AV29" s="108">
        <v>1.5</v>
      </c>
      <c r="AW29" s="108">
        <v>1.35</v>
      </c>
      <c r="AX29" s="108">
        <v>1.3</v>
      </c>
      <c r="AY29" s="108">
        <v>1.28</v>
      </c>
      <c r="AZ29" s="108"/>
      <c r="BA29" s="108"/>
      <c r="BB29" s="108"/>
      <c r="BC29" s="108"/>
      <c r="BD29" s="108"/>
      <c r="BE29" s="108"/>
      <c r="BF29" s="108"/>
      <c r="BG29" s="108"/>
      <c r="BH29" s="108"/>
      <c r="BI29" s="108"/>
      <c r="BJ29" s="108"/>
      <c r="BK29" s="108"/>
      <c r="BL29" s="93"/>
      <c r="BM29" s="93"/>
      <c r="BN29" s="93"/>
      <c r="BO29" s="93"/>
      <c r="BP29" s="93"/>
      <c r="BQ29" s="93"/>
      <c r="BR29" s="93"/>
      <c r="BS29" s="93"/>
      <c r="BT29" s="93"/>
      <c r="BU29" s="93"/>
      <c r="BV29" s="93"/>
      <c r="BW29" s="93"/>
      <c r="BX29" s="93"/>
      <c r="BY29" s="93"/>
      <c r="BZ29" s="93"/>
      <c r="CA29" s="93"/>
      <c r="CB29" s="93"/>
      <c r="CC29" s="93"/>
      <c r="CD29" s="93"/>
      <c r="CE29" s="93"/>
      <c r="CF29" s="93"/>
      <c r="CG29" s="93"/>
      <c r="CH29" s="93"/>
      <c r="CI29" s="93"/>
      <c r="CJ29" s="93"/>
      <c r="CK29" s="93"/>
      <c r="CL29" s="93"/>
      <c r="CM29" s="93"/>
      <c r="CN29" s="93"/>
      <c r="CO29" s="93"/>
      <c r="CP29" s="93"/>
      <c r="CQ29" s="93"/>
      <c r="CR29" s="92"/>
      <c r="CS29" s="92"/>
      <c r="CT29" s="92"/>
      <c r="CU29" s="92"/>
    </row>
    <row r="30" spans="1:99" s="9" customFormat="1" ht="12" customHeight="1" x14ac:dyDescent="0.2">
      <c r="A30" s="37">
        <v>43976</v>
      </c>
      <c r="B30" s="1"/>
      <c r="C30" s="1"/>
      <c r="D30" s="32"/>
      <c r="E30" s="41"/>
      <c r="F30" s="32"/>
      <c r="G30" s="32"/>
      <c r="H30" s="32"/>
      <c r="I30" s="32"/>
      <c r="J30" s="32"/>
      <c r="K30" s="32"/>
      <c r="L30" s="32"/>
      <c r="M30" s="32"/>
      <c r="N30" s="32"/>
      <c r="O30" s="32"/>
      <c r="P30" s="32"/>
      <c r="Q30" s="77"/>
      <c r="R30" s="32"/>
      <c r="S30" s="32"/>
      <c r="T30" s="31"/>
      <c r="U30" s="32"/>
      <c r="V30" s="31"/>
      <c r="W30" s="32"/>
      <c r="X30" s="32"/>
      <c r="Y30" s="41"/>
      <c r="Z30" s="32"/>
      <c r="AA30" s="32"/>
      <c r="AB30" s="32"/>
      <c r="AC30" s="28"/>
      <c r="AD30" s="32"/>
      <c r="AE30" s="41"/>
      <c r="AF30" s="45"/>
      <c r="AG30" s="28"/>
      <c r="AH30" s="4"/>
      <c r="AI30" s="28"/>
      <c r="AJ30" s="51"/>
      <c r="AK30" s="28"/>
      <c r="AL30" s="28"/>
      <c r="AM30" s="28"/>
      <c r="AN30" s="28"/>
      <c r="AO30" s="47"/>
      <c r="AP30" s="47"/>
      <c r="AQ30" s="48"/>
      <c r="AR30" s="56"/>
      <c r="AS30" s="49"/>
      <c r="AT30" s="49"/>
      <c r="AU30" s="3"/>
      <c r="AV30" s="18">
        <f>60*10</f>
        <v>600</v>
      </c>
      <c r="AW30" s="18">
        <f>60*60*2</f>
        <v>7200</v>
      </c>
      <c r="AX30" s="18">
        <f>60*60*32</f>
        <v>115200</v>
      </c>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1"/>
      <c r="CS30" s="1"/>
      <c r="CT30" s="1"/>
      <c r="CU30" s="1"/>
    </row>
    <row r="31" spans="1:99" s="9" customFormat="1" ht="12" customHeight="1" x14ac:dyDescent="0.2">
      <c r="A31" s="37">
        <v>43976</v>
      </c>
      <c r="B31" s="1" t="s">
        <v>170</v>
      </c>
      <c r="C31" s="1" t="s">
        <v>92</v>
      </c>
      <c r="D31" s="32">
        <v>1988</v>
      </c>
      <c r="E31" s="41">
        <v>1</v>
      </c>
      <c r="F31" s="32">
        <v>18</v>
      </c>
      <c r="G31" s="32">
        <v>18</v>
      </c>
      <c r="H31" s="32" t="s">
        <v>14</v>
      </c>
      <c r="I31" s="32" t="s">
        <v>89</v>
      </c>
      <c r="J31" s="32" t="s">
        <v>82</v>
      </c>
      <c r="K31" s="32">
        <f>IF(J31="syllables",1,IF(J31="trigrams",2,IF(J31="strings",3,IF(J31="visual array",4,IF(J31="characters",5,IF(J31="letters",6,IF(J31="free forms",7,IF(J31="odors",8,IF(J31="words",9,IF(J31="pictures",10,IF(J31="object pictures",11,IF(J31="faces",12,IF(J31="names",13,IF(J31="idioms",14,IF(J31="grades",15,IF(J31="syllable-digit pairs",16,IF(J31="trigram-word pairs",17,IF(J31="word-digit pairs",18,IF(J31="English-Swahili pairs",19,IF(J31="spatial position",20,IF(J31="word pairs",21,IF(J31="word triads",22,IF(J31="generated words",23,IF(J31="word definition pairs",24,IF(J31="math problems",25,IF(J31="famous faces",26,IF(J31="famous names",27,IF(J31="famous voices",28,IF(J31="television programs",29,IF(J31="race horses",30,IF(J31="new vocabulary",31,IF(J31="sentences",32,IF(J31="concepts",33,IF(J31="ad slides",34,IF(J31="scenes",35,IF(J31="famous scenes",36,IF(J31="poems",37,IF(J31="walk",38,IF(J31="faces and events",39,IF(J31="events and names",40,IF(J31="flashbulb",41,IF(J31="stories",42,IF(J31="course material",43,IF(J31="autobiographical",44,IF(J31="novels",45,IF(J31="public events",46,"99"))))))))))))))))))))))))))))))))))))))))))))))</f>
        <v>10</v>
      </c>
      <c r="L31" s="32">
        <f>IF(J31="syllables",1,IF(J31="trigrams",1,IF(J31="strings",1,IF(J31="visual array",1,IF(J31="characters",1,IF(J31="letters",1,IF(J31="free forms",1,IF(J31="odors",2,IF(J31="words",2,IF(J31="pictures",2,IF(J31="object pictures",2,IF(J31="faces",2,IF(J31="names",2,IF(J31="idioms","2",IF(J31="grades",2,IF(J31="syllable-digit pairs",3,IF(J31="trigram-word pairs",3,IF(J31="word-digit pairs",3,IF(J31="English-Swahili pairs",3,IF(J31="spatial position",3,IF(J31="word pairs",4,IF(J31="word triads",4,IF(J31="generated words",4,IF(J31="word definition pairs",4,IF(J31="math problems",4,IF(J31="famous faces",4,IF(J31="famous names",4,IF(J31="famous voices",4,IF(J31="television programs",4,IF(J31="race horses",4,IF(J31="new vocabulary",4,IF(J31="sentences",5,IF(J31="concepts",5,IF(J31="ad slides",5,IF(J31="scenes",5,IF(J31="famous scenes",5,IF(J31="poems",6,IF(J31="walk",6,IF(J31="faces and events",6,IF(J31="events and names",6,IF(J31="flashbulb",7,IF(J31="stories",7,IF(J31="course material",7,IF(J31="autobiographical",7,IF(J31="novels",7,IF(J31="public events",7,"99"))))))))))))))))))))))))))))))))))))))))))))))</f>
        <v>2</v>
      </c>
      <c r="M31" s="32">
        <v>0</v>
      </c>
      <c r="N31" s="32">
        <v>1</v>
      </c>
      <c r="O31" s="32">
        <v>0</v>
      </c>
      <c r="P31" s="32"/>
      <c r="Q31" s="77" t="s">
        <v>18</v>
      </c>
      <c r="R31" s="32">
        <f>IF(Q31="Free Recall",1,IF(Q31="Cued Recall",2,IF(Q31="Recognition",3,IF(Q31="Multiple Choice",4,IF(Q31="Savings",5,IF(Q31="Stem Completion",6,IF(Q31="Fragment Completion",7,IF(Q31="anagram solution",8,IF(Q31="Matching",9,IF(Q31="Problem Solving",10,"99"))))))))))</f>
        <v>3</v>
      </c>
      <c r="S31" s="31" t="s">
        <v>196</v>
      </c>
      <c r="T31" s="31" t="s">
        <v>132</v>
      </c>
      <c r="U31" s="32">
        <f>IF(T31="within",1,0)</f>
        <v>1</v>
      </c>
      <c r="V31" s="31">
        <v>22</v>
      </c>
      <c r="W31" s="32">
        <f>F31*V31</f>
        <v>396</v>
      </c>
      <c r="X31" s="32">
        <v>3</v>
      </c>
      <c r="Y31" s="41">
        <f>AV30</f>
        <v>600</v>
      </c>
      <c r="Z31" s="32" t="s">
        <v>171</v>
      </c>
      <c r="AA31" s="32">
        <f>60*60*32</f>
        <v>115200</v>
      </c>
      <c r="AB31" s="32" t="str">
        <f>IF(AA31&lt;60,"1",IF(AA31&lt;=43200,"2",IF(AA31&lt;=777600,"3","4")))</f>
        <v>3</v>
      </c>
      <c r="AC31" s="28">
        <f>AVERAGE(AV30:DA30)</f>
        <v>41000</v>
      </c>
      <c r="AD31" s="32" t="str">
        <f>IF(AC31&lt;60,"1",IF(AC31&lt;=43200,"2",IF(AC31&lt;=777600,"3","4")))</f>
        <v>2</v>
      </c>
      <c r="AE31" s="41">
        <f>AA31-Y31</f>
        <v>114600</v>
      </c>
      <c r="AF31" s="45">
        <f>AV31</f>
        <v>3.08</v>
      </c>
      <c r="AG31" s="28">
        <f>((AW31-AV31)+(AX31-AW31))/2</f>
        <v>-0.54</v>
      </c>
      <c r="AH31" s="4"/>
      <c r="AI31" s="28">
        <f>RSQ(AV31:AX31,AV30:AX30)</f>
        <v>0.97401470517618582</v>
      </c>
      <c r="AJ31" s="51">
        <f>SLOPE(AV31:AX31,AV30:AX30)</f>
        <v>-8.6982986000405782E-6</v>
      </c>
      <c r="AK31" s="28">
        <f>INTERCEPT(AV31:AX31,AV30:AX30)</f>
        <v>2.9966302426016638</v>
      </c>
      <c r="AL31" s="28">
        <f>INDEX(LINEST(LN(AV31:AX31),LN(AV30:AX30),TRUE,TRUE),3,1)</f>
        <v>0.90440952423060827</v>
      </c>
      <c r="AM31" s="28">
        <f>INDEX(LINEST(LN(AV31:AX31),LN(AV30:AX30)),1)</f>
        <v>-8.2979269088313309E-2</v>
      </c>
      <c r="AN31" s="28">
        <f>EXP(INDEX(LINEST(LN(AV31:AX31),LN(AV30:AX30)),1,2))</f>
        <v>5.4680703107102895</v>
      </c>
      <c r="AO31" s="47">
        <f>INDEX(LINEST((AV31:AX31),LN(AV30:AX30),TRUE,TRUE),3,1)</f>
        <v>0.92426267387606109</v>
      </c>
      <c r="AP31" s="47">
        <f>INDEX(LINEST((AV31:AX31),LN(AV30:AX30)),1)</f>
        <v>-0.20729566064850624</v>
      </c>
      <c r="AQ31" s="48">
        <f>INDEX(LINEST(LN(AV31:AX31),SQRT(AV30:AX30),TRUE,TRUE),3,1)</f>
        <v>0.99998505093992951</v>
      </c>
      <c r="AR31" s="56">
        <f>INDEX(LINEST(LN(AV31:AX31),SQRT((AV30:AX30))),1)</f>
        <v>-1.3729919483825039E-3</v>
      </c>
      <c r="AS31" s="49">
        <f>INDEX(LINEST(1/(AV31:AX31),1/(SQRT(AV30:AX30)),TRUE,TRUE),3,1)</f>
        <v>0.60823006664096035</v>
      </c>
      <c r="AT31" s="49">
        <f>INDEX(LINEST(1/(AV31:AX31),1/SQRT(AV30:AX30)),1)</f>
        <v>-3.7114483111782457</v>
      </c>
      <c r="AU31" s="3"/>
      <c r="AV31" s="25">
        <v>3.08</v>
      </c>
      <c r="AW31" s="25">
        <v>2.84</v>
      </c>
      <c r="AX31" s="25">
        <v>2</v>
      </c>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1"/>
      <c r="CS31" s="1"/>
      <c r="CT31" s="1"/>
      <c r="CU31" s="1"/>
    </row>
    <row r="32" spans="1:99" s="9" customFormat="1" ht="12" customHeight="1" x14ac:dyDescent="0.2">
      <c r="A32" s="37">
        <v>43509</v>
      </c>
      <c r="B32" s="1"/>
      <c r="C32" s="1"/>
      <c r="D32" s="32"/>
      <c r="E32" s="41"/>
      <c r="F32" s="32"/>
      <c r="G32" s="32"/>
      <c r="H32" s="32"/>
      <c r="I32" s="32"/>
      <c r="J32" s="32"/>
      <c r="K32" s="36"/>
      <c r="L32" s="36"/>
      <c r="M32" s="32"/>
      <c r="N32" s="32"/>
      <c r="O32" s="32"/>
      <c r="P32" s="32"/>
      <c r="Q32" s="32"/>
      <c r="R32" s="32"/>
      <c r="S32" s="32"/>
      <c r="T32" s="32"/>
      <c r="U32" s="32"/>
      <c r="V32" s="32"/>
      <c r="W32" s="32"/>
      <c r="X32" s="32"/>
      <c r="Y32" s="41"/>
      <c r="Z32" s="32"/>
      <c r="AA32" s="32"/>
      <c r="AB32" s="32"/>
      <c r="AC32" s="32"/>
      <c r="AD32" s="32"/>
      <c r="AE32" s="32"/>
      <c r="AF32" s="45"/>
      <c r="AG32" s="28"/>
      <c r="AH32" s="4"/>
      <c r="AI32" s="28"/>
      <c r="AJ32" s="51"/>
      <c r="AK32" s="28"/>
      <c r="AL32" s="28"/>
      <c r="AM32" s="28"/>
      <c r="AN32" s="28"/>
      <c r="AO32" s="28"/>
      <c r="AP32" s="28"/>
      <c r="AQ32" s="28"/>
      <c r="AR32" s="51"/>
      <c r="AS32" s="28"/>
      <c r="AT32" s="28"/>
      <c r="AU32" s="4"/>
      <c r="AV32" s="18">
        <f>60*60</f>
        <v>3600</v>
      </c>
      <c r="AW32" s="18">
        <f>24*3600</f>
        <v>86400</v>
      </c>
      <c r="AX32" s="18">
        <f>24*3600*2</f>
        <v>172800</v>
      </c>
      <c r="AY32" s="25"/>
      <c r="AZ32" s="25"/>
      <c r="BA32" s="25"/>
      <c r="BB32" s="25"/>
      <c r="BC32" s="25"/>
      <c r="BD32" s="25"/>
      <c r="BE32" s="25"/>
      <c r="BF32" s="25"/>
      <c r="BG32" s="25"/>
      <c r="BH32" s="25"/>
      <c r="BI32" s="25"/>
      <c r="BJ32" s="25"/>
      <c r="BK32" s="25"/>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1"/>
      <c r="CS32" s="1"/>
      <c r="CT32" s="1"/>
      <c r="CU32" s="1"/>
    </row>
    <row r="33" spans="1:99" s="9" customFormat="1" ht="12" customHeight="1" x14ac:dyDescent="0.2">
      <c r="A33" s="37">
        <v>43509</v>
      </c>
      <c r="B33" s="1" t="s">
        <v>43</v>
      </c>
      <c r="C33" s="1" t="s">
        <v>27</v>
      </c>
      <c r="D33" s="32">
        <v>2007</v>
      </c>
      <c r="E33" s="41">
        <v>1</v>
      </c>
      <c r="F33" s="32">
        <v>72</v>
      </c>
      <c r="G33" s="32">
        <v>24</v>
      </c>
      <c r="H33" s="32" t="s">
        <v>14</v>
      </c>
      <c r="I33" s="32" t="s">
        <v>137</v>
      </c>
      <c r="J33" s="32" t="s">
        <v>109</v>
      </c>
      <c r="K33" s="32">
        <f>IF(J33="syllables",1,IF(J33="trigrams",2,IF(J33="strings",3,IF(J33="visual array",4,IF(J33="characters",5,IF(J33="letters",6,IF(J33="free forms",7,IF(J33="odors",8,IF(J33="words",9,IF(J33="pictures",10,IF(J33="object pictures",11,IF(J33="faces",12,IF(J33="names",13,IF(J33="idioms",14,IF(J33="grades",15,IF(J33="syllable-digit pairs",16,IF(J33="trigram-word pairs",17,IF(J33="word-digit pairs",18,IF(J33="English-Swahili pairs",19,IF(J33="spatial position",20,IF(J33="word pairs",21,IF(J33="word triads",22,IF(J33="generated words",23,IF(J33="word definition pairs",24,IF(J33="math problems",25,IF(J33="famous faces",26,IF(J33="famous names",27,IF(J33="famous voices",28,IF(J33="television programs",29,IF(J33="race horses",30,IF(J33="new vocabulary",31,IF(J33="sentences",32,IF(J33="concepts",33,IF(J33="ad slides",34,IF(J33="scenes",35,IF(J33="famous scenes",36,IF(J33="poems",37,IF(J33="walk",38,IF(J33="faces and events",39,IF(J33="events and names",40,IF(J33="flashbulb",41,IF(J33="stories",42,IF(J33="course material",43,IF(J33="autobiographical",44,IF(J33="novels",45,IF(J33="public events",46,"99"))))))))))))))))))))))))))))))))))))))))))))))</f>
        <v>32</v>
      </c>
      <c r="L33" s="32">
        <f>IF(J33="syllables",1,IF(J33="trigrams",1,IF(J33="strings",1,IF(J33="visual array",1,IF(J33="characters",1,IF(J33="letters",1,IF(J33="free forms",1,IF(J33="odors",2,IF(J33="words",2,IF(J33="pictures",2,IF(J33="object pictures",2,IF(J33="faces",2,IF(J33="names",2,IF(J33="idioms","2",IF(J33="grades",2,IF(J33="syllable-digit pairs",3,IF(J33="trigram-word pairs",3,IF(J33="word-digit pairs",3,IF(J33="English-Swahili pairs",3,IF(J33="spatial position",3,IF(J33="word pairs",4,IF(J33="word triads",4,IF(J33="generated words",4,IF(J33="word definition pairs",4,IF(J33="math problems",4,IF(J33="famous faces",4,IF(J33="famous names",4,IF(J33="famous voices",4,IF(J33="television programs",4,IF(J33="race horses",4,IF(J33="new vocabulary",4,IF(J33="sentences",5,IF(J33="concepts",5,IF(J33="ad slides",5,IF(J33="scenes",5,IF(J33="famous scenes",5,IF(J33="poems",6,IF(J33="walk",6,IF(J33="faces and events",6,IF(J33="events and names",6,IF(J33="flashbulb",7,IF(J33="stories",7,IF(J33="course material",7,IF(J33="autobiographical",7,IF(J33="novels",7,IF(J33="public events",7,"99"))))))))))))))))))))))))))))))))))))))))))))))</f>
        <v>5</v>
      </c>
      <c r="M33" s="32">
        <v>0</v>
      </c>
      <c r="N33" s="32">
        <v>3</v>
      </c>
      <c r="O33" s="32">
        <v>0</v>
      </c>
      <c r="P33" s="32"/>
      <c r="Q33" s="32" t="s">
        <v>18</v>
      </c>
      <c r="R33" s="32">
        <f>IF(Q33="Free Recall",1,IF(Q33="Cued Recall",2,IF(Q33="Recognition",3,IF(Q33="Multiple Choice",4,IF(Q33="Savings",5,IF(Q33="Stem Completion",6,IF(Q33="Fragment Completion",7,IF(Q33="anagram solution",8,IF(Q33="Matching",9,IF(Q33="Problem Solving",10,"99"))))))))))</f>
        <v>3</v>
      </c>
      <c r="S33" s="77" t="s">
        <v>196</v>
      </c>
      <c r="T33" s="32" t="s">
        <v>72</v>
      </c>
      <c r="U33" s="32">
        <f>IF(T33="within",1,0)</f>
        <v>0</v>
      </c>
      <c r="V33" s="32">
        <v>40</v>
      </c>
      <c r="W33" s="32">
        <f>F33*V33</f>
        <v>2880</v>
      </c>
      <c r="X33" s="32">
        <v>3</v>
      </c>
      <c r="Y33" s="41">
        <f>AV32</f>
        <v>3600</v>
      </c>
      <c r="Z33" s="32" t="s">
        <v>40</v>
      </c>
      <c r="AA33" s="32">
        <v>172800</v>
      </c>
      <c r="AB33" s="32" t="str">
        <f>IF(AA33&lt;60,"1",IF(AA33&lt;=43200,"2",IF(AA33&lt;=777600,"3","4")))</f>
        <v>3</v>
      </c>
      <c r="AC33" s="28">
        <f>AVERAGE(AV32:DA32)</f>
        <v>87600</v>
      </c>
      <c r="AD33" s="32" t="str">
        <f>IF(AC33&lt;60,"1",IF(AC33&lt;=43200,"2",IF(AC33&lt;=777600,"3","4")))</f>
        <v>3</v>
      </c>
      <c r="AE33" s="41">
        <f>AA33-Y33</f>
        <v>169200</v>
      </c>
      <c r="AF33" s="45">
        <f>AV33</f>
        <v>5.0741292594858338</v>
      </c>
      <c r="AG33" s="28">
        <f>((AW33-AV33)+(AX33-AW33))/2</f>
        <v>-1.1846389675437345</v>
      </c>
      <c r="AH33" s="4"/>
      <c r="AI33" s="28">
        <f>RSQ(AV33:AX33,AV32:AX32)</f>
        <v>0.86019257175099306</v>
      </c>
      <c r="AJ33" s="51">
        <f>SLOPE(AV33:AX33,AV32:AX32)</f>
        <v>-1.3933819925288916E-5</v>
      </c>
      <c r="AK33" s="28">
        <f>INTERCEPT(AV33:AX33,AV32:AX32)</f>
        <v>4.8440765217308375</v>
      </c>
      <c r="AL33" s="28">
        <f>INDEX(LINEST(LN(AV33:AX33),LN(AV32:AX32),TRUE,TRUE),3,1)</f>
        <v>0.99882942335665303</v>
      </c>
      <c r="AM33" s="28">
        <f>INDEX(LINEST(LN(AV33:AX33),LN(AV32:AX32)),1)</f>
        <v>-0.16047384338199436</v>
      </c>
      <c r="AN33" s="28">
        <f>EXP(INDEX(LINEST(LN(AV33:AX33),LN(AV32:AX32)),1,2))</f>
        <v>18.923865228028365</v>
      </c>
      <c r="AO33" s="47">
        <f>INDEX(LINEST((AV33:AX33),LN(AV32:AX32),TRUE,TRUE),3,1)</f>
        <v>0.99974307070223212</v>
      </c>
      <c r="AP33" s="47">
        <f>INDEX(LINEST((AV33:AX33),LN(AV32:AX32)),1)</f>
        <v>-0.61568442348276819</v>
      </c>
      <c r="AQ33" s="48">
        <f>INDEX(LINEST(LN(AV33:AX33),SQRT(AV32:AX32),TRUE,TRUE),3,1)</f>
        <v>0.98037176812903226</v>
      </c>
      <c r="AR33" s="56">
        <f>INDEX(LINEST(LN(AV33:AX33),SQRT((AV32:AX32))),1)</f>
        <v>-1.8154636869272341E-3</v>
      </c>
      <c r="AS33" s="49">
        <f>INDEX(LINEST(1/(AV33:AX33),1/(SQRT(AV32:AX32)),TRUE,TRUE),3,1)</f>
        <v>0.96090518390599089</v>
      </c>
      <c r="AT33" s="49">
        <f>INDEX(LINEST(1/(AV33:AX33),1/SQRT(AV32:AX32)),1)</f>
        <v>-11.002607146047147</v>
      </c>
      <c r="AU33" s="3"/>
      <c r="AV33" s="25">
        <v>5.0741292594858338</v>
      </c>
      <c r="AW33" s="25">
        <v>3.0914411049423856</v>
      </c>
      <c r="AX33" s="25">
        <v>2.7048513243983647</v>
      </c>
      <c r="AY33" s="25"/>
      <c r="AZ33" s="25"/>
      <c r="BA33" s="25"/>
      <c r="BB33" s="25"/>
      <c r="BC33" s="25"/>
      <c r="BD33" s="25"/>
      <c r="BE33" s="25"/>
      <c r="BF33" s="25"/>
      <c r="BG33" s="25"/>
      <c r="BH33" s="25"/>
      <c r="BI33" s="25"/>
      <c r="BJ33" s="25"/>
      <c r="BK33" s="25"/>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1"/>
      <c r="CS33" s="1"/>
      <c r="CT33" s="1"/>
      <c r="CU33" s="1"/>
    </row>
    <row r="34" spans="1:99" s="9" customFormat="1" ht="12" customHeight="1" x14ac:dyDescent="0.2">
      <c r="A34" s="37">
        <v>43509</v>
      </c>
      <c r="B34" s="1"/>
      <c r="C34" s="1"/>
      <c r="D34" s="32"/>
      <c r="E34" s="41"/>
      <c r="F34" s="32"/>
      <c r="G34" s="32"/>
      <c r="H34" s="32"/>
      <c r="I34" s="32"/>
      <c r="J34" s="32"/>
      <c r="K34" s="36"/>
      <c r="L34" s="36"/>
      <c r="M34" s="32"/>
      <c r="N34" s="32"/>
      <c r="O34" s="32"/>
      <c r="P34" s="32"/>
      <c r="Q34" s="32"/>
      <c r="R34" s="32"/>
      <c r="S34" s="32"/>
      <c r="T34" s="32"/>
      <c r="U34" s="32"/>
      <c r="V34" s="32"/>
      <c r="W34" s="32"/>
      <c r="X34" s="32"/>
      <c r="Y34" s="41"/>
      <c r="Z34" s="32"/>
      <c r="AA34" s="32"/>
      <c r="AB34" s="32"/>
      <c r="AC34" s="32"/>
      <c r="AD34" s="32"/>
      <c r="AE34" s="32"/>
      <c r="AF34" s="45"/>
      <c r="AG34" s="28"/>
      <c r="AH34" s="4"/>
      <c r="AI34" s="28"/>
      <c r="AJ34" s="51"/>
      <c r="AK34" s="28"/>
      <c r="AL34" s="28"/>
      <c r="AM34" s="28"/>
      <c r="AN34" s="28"/>
      <c r="AO34" s="28"/>
      <c r="AP34" s="28"/>
      <c r="AQ34" s="28"/>
      <c r="AR34" s="51"/>
      <c r="AS34" s="28"/>
      <c r="AT34" s="28"/>
      <c r="AU34" s="4"/>
      <c r="AV34" s="18">
        <f>60*60</f>
        <v>3600</v>
      </c>
      <c r="AW34" s="18">
        <f>24*3600</f>
        <v>86400</v>
      </c>
      <c r="AX34" s="18">
        <f>24*3600*2</f>
        <v>172800</v>
      </c>
      <c r="AY34" s="25"/>
      <c r="AZ34" s="25"/>
      <c r="BA34" s="25"/>
      <c r="BB34" s="25"/>
      <c r="BC34" s="25"/>
      <c r="BD34" s="25"/>
      <c r="BE34" s="25"/>
      <c r="BF34" s="25"/>
      <c r="BG34" s="25"/>
      <c r="BH34" s="25"/>
      <c r="BI34" s="25"/>
      <c r="BJ34" s="25"/>
      <c r="BK34" s="25"/>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1"/>
      <c r="CS34" s="1"/>
      <c r="CT34" s="1"/>
      <c r="CU34" s="1"/>
    </row>
    <row r="35" spans="1:99" s="9" customFormat="1" ht="12" customHeight="1" x14ac:dyDescent="0.2">
      <c r="A35" s="37">
        <v>43509</v>
      </c>
      <c r="B35" s="1" t="s">
        <v>43</v>
      </c>
      <c r="C35" s="1" t="s">
        <v>27</v>
      </c>
      <c r="D35" s="32">
        <v>2007</v>
      </c>
      <c r="E35" s="41">
        <v>1</v>
      </c>
      <c r="F35" s="32">
        <v>72</v>
      </c>
      <c r="G35" s="32">
        <v>24</v>
      </c>
      <c r="H35" s="32" t="s">
        <v>14</v>
      </c>
      <c r="I35" s="32" t="s">
        <v>138</v>
      </c>
      <c r="J35" s="32" t="s">
        <v>109</v>
      </c>
      <c r="K35" s="32">
        <f>IF(J35="syllables",1,IF(J35="trigrams",2,IF(J35="strings",3,IF(J35="visual array",4,IF(J35="characters",5,IF(J35="letters",6,IF(J35="free forms",7,IF(J35="odors",8,IF(J35="words",9,IF(J35="pictures",10,IF(J35="object pictures",11,IF(J35="faces",12,IF(J35="names",13,IF(J35="idioms",14,IF(J35="grades",15,IF(J35="syllable-digit pairs",16,IF(J35="trigram-word pairs",17,IF(J35="word-digit pairs",18,IF(J35="English-Swahili pairs",19,IF(J35="spatial position",20,IF(J35="word pairs",21,IF(J35="word triads",22,IF(J35="generated words",23,IF(J35="word definition pairs",24,IF(J35="math problems",25,IF(J35="famous faces",26,IF(J35="famous names",27,IF(J35="famous voices",28,IF(J35="television programs",29,IF(J35="race horses",30,IF(J35="new vocabulary",31,IF(J35="sentences",32,IF(J35="concepts",33,IF(J35="ad slides",34,IF(J35="scenes",35,IF(J35="famous scenes",36,IF(J35="poems",37,IF(J35="walk",38,IF(J35="faces and events",39,IF(J35="events and names",40,IF(J35="flashbulb",41,IF(J35="stories",42,IF(J35="course material",43,IF(J35="autobiographical",44,IF(J35="novels",45,IF(J35="public events",46,"99"))))))))))))))))))))))))))))))))))))))))))))))</f>
        <v>32</v>
      </c>
      <c r="L35" s="32">
        <f>IF(J35="syllables",1,IF(J35="trigrams",1,IF(J35="strings",1,IF(J35="visual array",1,IF(J35="characters",1,IF(J35="letters",1,IF(J35="free forms",1,IF(J35="odors",2,IF(J35="words",2,IF(J35="pictures",2,IF(J35="object pictures",2,IF(J35="faces",2,IF(J35="names",2,IF(J35="idioms","2",IF(J35="grades",2,IF(J35="syllable-digit pairs",3,IF(J35="trigram-word pairs",3,IF(J35="word-digit pairs",3,IF(J35="English-Swahili pairs",3,IF(J35="spatial position",3,IF(J35="word pairs",4,IF(J35="word triads",4,IF(J35="generated words",4,IF(J35="word definition pairs",4,IF(J35="math problems",4,IF(J35="famous faces",4,IF(J35="famous names",4,IF(J35="famous voices",4,IF(J35="television programs",4,IF(J35="race horses",4,IF(J35="new vocabulary",4,IF(J35="sentences",5,IF(J35="concepts",5,IF(J35="ad slides",5,IF(J35="scenes",5,IF(J35="famous scenes",5,IF(J35="poems",6,IF(J35="walk",6,IF(J35="faces and events",6,IF(J35="events and names",6,IF(J35="flashbulb",7,IF(J35="stories",7,IF(J35="course material",7,IF(J35="autobiographical",7,IF(J35="novels",7,IF(J35="public events",7,"99"))))))))))))))))))))))))))))))))))))))))))))))</f>
        <v>5</v>
      </c>
      <c r="M35" s="32">
        <v>0</v>
      </c>
      <c r="N35" s="32">
        <v>3</v>
      </c>
      <c r="O35" s="32">
        <v>0</v>
      </c>
      <c r="P35" s="32"/>
      <c r="Q35" s="32" t="s">
        <v>18</v>
      </c>
      <c r="R35" s="32">
        <f>IF(Q35="Free Recall",1,IF(Q35="Cued Recall",2,IF(Q35="Recognition",3,IF(Q35="Multiple Choice",4,IF(Q35="Savings",5,IF(Q35="Stem Completion",6,IF(Q35="Fragment Completion",7,IF(Q35="anagram solution",8,IF(Q35="Matching",9,IF(Q35="Problem Solving",10,"99"))))))))))</f>
        <v>3</v>
      </c>
      <c r="S35" s="77" t="s">
        <v>196</v>
      </c>
      <c r="T35" s="32" t="s">
        <v>72</v>
      </c>
      <c r="U35" s="32">
        <f>IF(T35="within",1,0)</f>
        <v>0</v>
      </c>
      <c r="V35" s="32">
        <v>40</v>
      </c>
      <c r="W35" s="32">
        <f>F35*V35</f>
        <v>2880</v>
      </c>
      <c r="X35" s="32">
        <v>3</v>
      </c>
      <c r="Y35" s="41">
        <f>AV34</f>
        <v>3600</v>
      </c>
      <c r="Z35" s="32" t="s">
        <v>40</v>
      </c>
      <c r="AA35" s="32">
        <v>172800</v>
      </c>
      <c r="AB35" s="32" t="str">
        <f>IF(AA35&lt;60,"1",IF(AA35&lt;=43200,"2",IF(AA35&lt;=777600,"3","4")))</f>
        <v>3</v>
      </c>
      <c r="AC35" s="28">
        <f>AVERAGE(AV34:DA34)</f>
        <v>87600</v>
      </c>
      <c r="AD35" s="32" t="str">
        <f>IF(AC35&lt;60,"1",IF(AC35&lt;=43200,"2",IF(AC35&lt;=777600,"3","4")))</f>
        <v>3</v>
      </c>
      <c r="AE35" s="41">
        <f>AA35-Y35</f>
        <v>169200</v>
      </c>
      <c r="AF35" s="45">
        <f>AV35</f>
        <v>4.3926350123964646</v>
      </c>
      <c r="AG35" s="28">
        <f>((AW35-AV35)+(AX35-AW35))/2</f>
        <v>-1.1813149533484204</v>
      </c>
      <c r="AH35" s="4"/>
      <c r="AI35" s="28">
        <f>RSQ(AV35:AX35,AV34:AX34)</f>
        <v>0.84467134036109737</v>
      </c>
      <c r="AJ35" s="51">
        <f>SLOPE(AV35:AX35,AV34:AX34)</f>
        <v>-1.3890363057847853E-5</v>
      </c>
      <c r="AK35" s="28">
        <f>INTERCEPT(AV35:AX35,AV34:AX34)</f>
        <v>4.1455088639891002</v>
      </c>
      <c r="AL35" s="28">
        <f>INDEX(LINEST(LN(AV35:AX35),LN(AV34:AX34),TRUE,TRUE),3,1)</f>
        <v>0.99966148041189262</v>
      </c>
      <c r="AM35" s="28">
        <f>INDEX(LINEST(LN(AV35:AX35),LN(AV34:AX34)),1)</f>
        <v>-0.19804254861197892</v>
      </c>
      <c r="AN35" s="28">
        <f>EXP(INDEX(LINEST(LN(AV35:AX35),LN(AV34:AX34)),1,2))</f>
        <v>22.266795600293655</v>
      </c>
      <c r="AO35" s="47">
        <f>INDEX(LINEST((AV35:AX35),LN(AV34:AX34),TRUE,TRUE),3,1)</f>
        <v>0.99856293102438531</v>
      </c>
      <c r="AP35" s="47">
        <f>INDEX(LINEST((AV35:AX35),LN(AV34:AX34)),1)</f>
        <v>-0.6190119783954563</v>
      </c>
      <c r="AQ35" s="48">
        <f>INDEX(LINEST(LN(AV35:AX35),SQRT(AV34:AX34),TRUE,TRUE),3,1)</f>
        <v>0.97574287122258618</v>
      </c>
      <c r="AR35" s="56">
        <f>INDEX(LINEST(LN(AV35:AX35),SQRT((AV34:AX34))),1)</f>
        <v>-2.2342578834374134E-3</v>
      </c>
      <c r="AS35" s="49">
        <f>INDEX(LINEST(1/(AV35:AX35),1/(SQRT(AV34:AX34)),TRUE,TRUE),3,1)</f>
        <v>0.96315647974217855</v>
      </c>
      <c r="AT35" s="49">
        <f>INDEX(LINEST(1/(AV35:AX35),1/SQRT(AV34:AX34)),1)</f>
        <v>-16.934019571869882</v>
      </c>
      <c r="AU35" s="3"/>
      <c r="AV35" s="25">
        <v>4.3926350123964646</v>
      </c>
      <c r="AW35" s="25">
        <v>2.3634990622687968</v>
      </c>
      <c r="AX35" s="25">
        <v>2.0300051056996238</v>
      </c>
      <c r="AY35" s="25"/>
      <c r="AZ35" s="25"/>
      <c r="BA35" s="25"/>
      <c r="BB35" s="25"/>
      <c r="BC35" s="25"/>
      <c r="BD35" s="25"/>
      <c r="BE35" s="25"/>
      <c r="BF35" s="25"/>
      <c r="BG35" s="25"/>
      <c r="BH35" s="25"/>
      <c r="BI35" s="25"/>
      <c r="BJ35" s="25"/>
      <c r="BK35" s="25"/>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1"/>
      <c r="CS35" s="1"/>
      <c r="CT35" s="1"/>
      <c r="CU35" s="1"/>
    </row>
    <row r="36" spans="1:99" s="60" customFormat="1" ht="12" customHeight="1" x14ac:dyDescent="0.2">
      <c r="A36" s="94">
        <v>43902</v>
      </c>
      <c r="B36" s="101"/>
      <c r="C36" s="101"/>
      <c r="D36" s="77"/>
      <c r="E36" s="98"/>
      <c r="F36" s="77"/>
      <c r="G36" s="77"/>
      <c r="H36" s="77"/>
      <c r="I36" s="77"/>
      <c r="J36" s="77"/>
      <c r="K36" s="102"/>
      <c r="L36" s="102"/>
      <c r="M36" s="77"/>
      <c r="N36" s="103"/>
      <c r="O36" s="77"/>
      <c r="P36" s="77"/>
      <c r="Q36" s="77"/>
      <c r="R36" s="77"/>
      <c r="S36" s="77"/>
      <c r="T36" s="96"/>
      <c r="U36" s="32"/>
      <c r="V36" s="96"/>
      <c r="W36" s="77"/>
      <c r="X36" s="77"/>
      <c r="Y36" s="98"/>
      <c r="Z36" s="96"/>
      <c r="AA36" s="96"/>
      <c r="AB36" s="77"/>
      <c r="AC36" s="100"/>
      <c r="AD36" s="77"/>
      <c r="AE36" s="77"/>
      <c r="AF36" s="99"/>
      <c r="AG36" s="100"/>
      <c r="AH36" s="84"/>
      <c r="AI36" s="100"/>
      <c r="AJ36" s="105"/>
      <c r="AK36" s="100"/>
      <c r="AL36" s="100"/>
      <c r="AM36" s="100"/>
      <c r="AN36" s="100"/>
      <c r="AO36" s="104"/>
      <c r="AP36" s="104"/>
      <c r="AQ36" s="48"/>
      <c r="AR36" s="56"/>
      <c r="AS36" s="49"/>
      <c r="AT36" s="49"/>
      <c r="AU36" s="63"/>
      <c r="AV36" s="64">
        <v>60</v>
      </c>
      <c r="AW36" s="64">
        <v>3600</v>
      </c>
      <c r="AX36" s="64">
        <v>86400</v>
      </c>
      <c r="AY36" s="65"/>
      <c r="AZ36" s="65"/>
      <c r="BA36" s="65"/>
      <c r="BB36" s="65"/>
      <c r="BC36" s="65"/>
      <c r="BD36" s="65"/>
      <c r="BE36" s="65"/>
      <c r="BF36" s="65"/>
      <c r="BG36" s="65"/>
      <c r="BH36" s="65"/>
      <c r="BI36" s="65"/>
      <c r="BJ36" s="65"/>
      <c r="BK36" s="65"/>
      <c r="BL36" s="61"/>
      <c r="BM36" s="61"/>
      <c r="BN36" s="61"/>
      <c r="BO36" s="61"/>
      <c r="BP36" s="61"/>
      <c r="BQ36" s="61"/>
      <c r="BR36" s="61"/>
      <c r="BS36" s="61"/>
      <c r="BT36" s="61"/>
      <c r="BU36" s="61"/>
      <c r="BV36" s="61"/>
      <c r="BW36" s="61"/>
      <c r="BX36" s="61"/>
      <c r="BY36" s="61"/>
      <c r="BZ36" s="61"/>
      <c r="CA36" s="61"/>
      <c r="CB36" s="61"/>
      <c r="CC36" s="61"/>
      <c r="CD36" s="61"/>
      <c r="CE36" s="61"/>
      <c r="CF36" s="61"/>
      <c r="CG36" s="61"/>
      <c r="CH36" s="61"/>
      <c r="CI36" s="61"/>
      <c r="CJ36" s="61"/>
      <c r="CK36" s="61"/>
      <c r="CL36" s="61"/>
      <c r="CM36" s="61"/>
      <c r="CN36" s="61"/>
      <c r="CO36" s="61"/>
      <c r="CP36" s="61"/>
      <c r="CQ36" s="61"/>
      <c r="CR36" s="59"/>
      <c r="CS36" s="59"/>
      <c r="CT36" s="59"/>
      <c r="CU36" s="59"/>
    </row>
    <row r="37" spans="1:99" s="60" customFormat="1" ht="12" customHeight="1" x14ac:dyDescent="0.2">
      <c r="A37" s="94">
        <v>43902</v>
      </c>
      <c r="B37" s="101" t="s">
        <v>106</v>
      </c>
      <c r="C37" s="101" t="s">
        <v>91</v>
      </c>
      <c r="D37" s="77">
        <v>1988</v>
      </c>
      <c r="E37" s="98">
        <v>1</v>
      </c>
      <c r="F37" s="77">
        <v>4</v>
      </c>
      <c r="G37" s="77">
        <v>4</v>
      </c>
      <c r="H37" s="77" t="s">
        <v>201</v>
      </c>
      <c r="I37" s="77" t="s">
        <v>89</v>
      </c>
      <c r="J37" s="96" t="s">
        <v>88</v>
      </c>
      <c r="K37" s="77" t="str">
        <f>IF(J37="syllables","1",IF(J37="trigrams","2",IF(J37="strings","3",IF(J37="visual array","4",IF(J37="characters","5",IF(J37="letters","6",IF(J37="free forms","7",IF(J37="odors","8",IF(J37="words","9",IF(J37="pictures","10",IF(J37="object pictures","11",IF(J37="faces","12",IF(J37="names","13",IF(J37="idioms","14",IF(J37="grades","15",IF(J37="syllable-digit pairs","16",IF(J37="trigram-word pairs","17",IF(J37="word-digit pairs","18",IF(J37="English-Swahili pairs","19",IF(J37="spatial position","20",IF(J37="word pairs","21",IF(J37="word triads","22",IF(J37="generated words","23",IF(J37="word definition pairs","24",IF(J37="math problems","25",IF(J37="famous faces","26",IF(J37="famous names","27",IF(J37="famous voices","28",IF(J37="television programs","29",IF(J37="race horses","30",IF(J37="new vocabulary","31",IF(J37="sentences","32",IF(J37="concepts","33",IF(J37="ad slides","34",IF(J37="scenes","35",IF(J37="famous scenes","36",IF(J37="poems","37",IF(J37="walk","38",IF(J37="faces and events","39",IF(J37="events and names","40",IF(J37="flashbulb","41",IF(J37="stories","42",IF(J37="course material","43",IF(J37="autobiographical","44",IF(J37="novels","45",IF(J37="public events","46",IF(J37="order","90","99")))))))))))))))))))))))))))))))))))))))))))))))</f>
        <v>12</v>
      </c>
      <c r="L37" s="77" t="str">
        <f>IF(J37="syllables","1",IF(J37="trigrams","1",IF(J37="strings","1",IF(J37="visual array","1",IF(J37="characters","1",IF(J37="letters","1",IF(J37="free forms","1",IF(J37="odors","2",IF(J37="words","2",IF(J37="pictures","2",IF(J37="object pictures","2",IF(J37="faces","2",IF(J37="names","2",IF(J37="idioms","2",IF(J37="grades","2",IF(J37="syllable-digit pairs","3",IF(J37="trigram-word pairs","3",IF(J37="word-digit pairs","3",IF(J37="English-Swahili pairs","3",IF(J37="spatial position","3",IF(J37="word pairs","4",IF(J37="word triads","4",IF(J37="generated words","4",IF(J37="word definition pairs","4",IF(J37="math problems","4",IF(J37="famous faces","4",IF(J37="famous names","4",IF(J37="famous voices","4",IF(J37="television programs","4",IF(J37="race horses","4",IF(J37="new vocabulary","4",IF(J37="sentences","5",IF(J37="concepts","5",IF(J37="ad slides","5",IF(J37="scenes","5",IF(J37="famous scenes","5",IF(J37="poems","6",IF(J37="walk","6",IF(J37="faces and events","6",IF(J37="events and names","6",IF(J37="flashbulb","7",IF(J37="stories","7",IF(J37="course material","7",IF(J37="autobiographical","7",IF(J37="novels","7",IF(J37="public events","7",IF(J37="order","90","99")))))))))))))))))))))))))))))))))))))))))))))))</f>
        <v>2</v>
      </c>
      <c r="M37" s="77" t="s">
        <v>195</v>
      </c>
      <c r="N37" s="103">
        <v>1</v>
      </c>
      <c r="O37" s="77" t="s">
        <v>195</v>
      </c>
      <c r="P37" s="77"/>
      <c r="Q37" s="77" t="s">
        <v>18</v>
      </c>
      <c r="R37" s="77" t="str">
        <f>IF(Q37="Free Recall","1",IF(Q37="Cued Recall","2",IF(Q37="Recognition","3",IF(Q37="Multiple Choice","4",IF(Q37="Savings","5",IF(Q37="Stem Completion","6",IF(Q37="Fragment Completion","7",IF(Q37="anagram solution","8",IF(Q37="Matching","9",IF(Q37="Problem Solving","10","99"))))))))))</f>
        <v>3</v>
      </c>
      <c r="S37" s="77" t="s">
        <v>196</v>
      </c>
      <c r="T37" s="96" t="s">
        <v>132</v>
      </c>
      <c r="U37" s="32">
        <f>IF(T37="within",1,0)</f>
        <v>1</v>
      </c>
      <c r="V37" s="96">
        <v>15</v>
      </c>
      <c r="W37" s="77">
        <f>F37*V37</f>
        <v>60</v>
      </c>
      <c r="X37" s="77">
        <v>3</v>
      </c>
      <c r="Y37" s="98">
        <f>AV36</f>
        <v>60</v>
      </c>
      <c r="Z37" s="96" t="s">
        <v>107</v>
      </c>
      <c r="AA37" s="96">
        <v>86400</v>
      </c>
      <c r="AB37" s="77" t="str">
        <f>IF(AA37&lt;60,"1",IF(AA37&lt;=43200,"2",IF(AA37&lt;=777600,"3","4")))</f>
        <v>3</v>
      </c>
      <c r="AC37" s="100">
        <f>AVERAGE(AV36:DA36)</f>
        <v>30020</v>
      </c>
      <c r="AD37" s="77" t="str">
        <f>IF(AC37&lt;60,"1",IF(AC37&lt;=43200,"2",IF(AC37&lt;=777600,"3","4")))</f>
        <v>2</v>
      </c>
      <c r="AE37" s="98">
        <f>AA37-Y37</f>
        <v>86340</v>
      </c>
      <c r="AF37" s="99">
        <f>AV37</f>
        <v>1.75</v>
      </c>
      <c r="AG37" s="100">
        <f>((AW37-AV37)+(AX37-AW37))/2</f>
        <v>-0.46500000000000002</v>
      </c>
      <c r="AH37" s="84"/>
      <c r="AI37" s="100">
        <f>RSQ(AV37:AX37,AV36:AX36)</f>
        <v>0.6767205514577439</v>
      </c>
      <c r="AJ37" s="105">
        <f>SLOPE(AV37:AX37,AV36:AX36)</f>
        <v>-7.8834642587186818E-6</v>
      </c>
      <c r="AK37" s="100">
        <f>INTERCEPT(AV37:AX37,AV36:AX36)</f>
        <v>1.4899949303800679</v>
      </c>
      <c r="AL37" s="100">
        <f>INDEX(LINEST(LN(AV37:AX37),LN(AV36:AX36),TRUE,TRUE),3,1)</f>
        <v>0.99609652855245923</v>
      </c>
      <c r="AM37" s="100">
        <f>INDEX(LINEST(LN(AV37:AX37),LN(AV36:AX36)),1)</f>
        <v>-0.10376636196991192</v>
      </c>
      <c r="AN37" s="100">
        <f>EXP(INDEX(LINEST(LN(AV37:AX37),LN(AV36:AX36)),1,2))</f>
        <v>2.7084860164773827</v>
      </c>
      <c r="AO37" s="104">
        <f>INDEX(LINEST((AV37:AX37),LN(AV36:AX36),TRUE,TRUE),3,1)</f>
        <v>0.99799474576990055</v>
      </c>
      <c r="AP37" s="104">
        <f>INDEX(LINEST((AV37:AX37),LN(AV36:AX36)),1)</f>
        <v>-0.1282991324602534</v>
      </c>
      <c r="AQ37" s="48">
        <f>INDEX(LINEST(LN(AV37:AX37),SQRT(AV36:AX36),TRUE,TRUE),3,1)</f>
        <v>0.87496911772727393</v>
      </c>
      <c r="AR37" s="56">
        <f>INDEX(LINEST(LN(AV37:AX37),SQRT((AV36:AX36))),1)</f>
        <v>-2.3264623477487439E-3</v>
      </c>
      <c r="AS37" s="49">
        <f>INDEX(LINEST(1/(AV37:AX37),1/(SQRT(AV36:AX36)),TRUE,TRUE),3,1)</f>
        <v>0.74849472216111423</v>
      </c>
      <c r="AT37" s="49">
        <f>INDEX(LINEST(1/(AV37:AX37),1/SQRT(AV36:AX36)),1)</f>
        <v>-4.0789189086162994</v>
      </c>
      <c r="AU37" s="63"/>
      <c r="AV37" s="65">
        <v>1.75</v>
      </c>
      <c r="AW37" s="65">
        <v>1.19</v>
      </c>
      <c r="AX37" s="65">
        <v>0.82</v>
      </c>
      <c r="AY37" s="65"/>
      <c r="AZ37" s="65"/>
      <c r="BA37" s="65"/>
      <c r="BB37" s="65"/>
      <c r="BC37" s="65"/>
      <c r="BD37" s="65"/>
      <c r="BE37" s="65"/>
      <c r="BF37" s="65"/>
      <c r="BG37" s="65"/>
      <c r="BH37" s="65"/>
      <c r="BI37" s="65"/>
      <c r="BJ37" s="65"/>
      <c r="BK37" s="65"/>
      <c r="BL37" s="61"/>
      <c r="BM37" s="61"/>
      <c r="BN37" s="61"/>
      <c r="BO37" s="61"/>
      <c r="BP37" s="61"/>
      <c r="BQ37" s="61"/>
      <c r="BR37" s="61"/>
      <c r="BS37" s="61"/>
      <c r="BT37" s="61"/>
      <c r="BU37" s="61"/>
      <c r="BV37" s="61"/>
      <c r="BW37" s="61"/>
      <c r="BX37" s="61"/>
      <c r="BY37" s="61"/>
      <c r="BZ37" s="61"/>
      <c r="CA37" s="61"/>
      <c r="CB37" s="61"/>
      <c r="CC37" s="61"/>
      <c r="CD37" s="61"/>
      <c r="CE37" s="61"/>
      <c r="CF37" s="61"/>
      <c r="CG37" s="61"/>
      <c r="CH37" s="61"/>
      <c r="CI37" s="61"/>
      <c r="CJ37" s="61"/>
      <c r="CK37" s="61"/>
      <c r="CL37" s="61"/>
      <c r="CM37" s="61"/>
      <c r="CN37" s="61"/>
      <c r="CO37" s="61"/>
      <c r="CP37" s="61"/>
      <c r="CQ37" s="61"/>
      <c r="CR37" s="59"/>
      <c r="CS37" s="59"/>
      <c r="CT37" s="59"/>
      <c r="CU37" s="59"/>
    </row>
    <row r="38" spans="1:99" s="9" customFormat="1" ht="12" customHeight="1" x14ac:dyDescent="0.2">
      <c r="A38" s="37">
        <v>43979</v>
      </c>
      <c r="B38" s="1"/>
      <c r="C38" s="1"/>
      <c r="D38" s="32"/>
      <c r="E38" s="41"/>
      <c r="F38" s="32"/>
      <c r="G38" s="32"/>
      <c r="H38" s="32"/>
      <c r="I38" s="32"/>
      <c r="J38" s="32"/>
      <c r="K38" s="32"/>
      <c r="L38" s="32"/>
      <c r="M38" s="32"/>
      <c r="N38" s="32"/>
      <c r="O38" s="32"/>
      <c r="P38" s="32"/>
      <c r="Q38" s="32"/>
      <c r="R38" s="32"/>
      <c r="S38" s="32"/>
      <c r="T38" s="31"/>
      <c r="U38" s="32"/>
      <c r="V38" s="31"/>
      <c r="W38" s="32"/>
      <c r="X38" s="32"/>
      <c r="Y38" s="41"/>
      <c r="Z38" s="32"/>
      <c r="AA38" s="32"/>
      <c r="AB38" s="32"/>
      <c r="AC38" s="28"/>
      <c r="AD38" s="32"/>
      <c r="AE38" s="41"/>
      <c r="AF38" s="45"/>
      <c r="AG38" s="28"/>
      <c r="AH38" s="4"/>
      <c r="AI38" s="28"/>
      <c r="AJ38" s="51"/>
      <c r="AK38" s="28"/>
      <c r="AL38" s="28"/>
      <c r="AM38" s="28"/>
      <c r="AN38" s="28"/>
      <c r="AO38" s="47"/>
      <c r="AP38" s="47"/>
      <c r="AQ38" s="48"/>
      <c r="AR38" s="56"/>
      <c r="AS38" s="49"/>
      <c r="AT38" s="49"/>
      <c r="AU38" s="3"/>
      <c r="AV38" s="18">
        <f>60*10</f>
        <v>600</v>
      </c>
      <c r="AW38" s="18">
        <f>60*60*2</f>
        <v>7200</v>
      </c>
      <c r="AX38" s="18">
        <f>60*60*31</f>
        <v>111600</v>
      </c>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1"/>
      <c r="CS38" s="1"/>
      <c r="CT38" s="1"/>
      <c r="CU38" s="1"/>
    </row>
    <row r="39" spans="1:99" s="9" customFormat="1" ht="12" customHeight="1" x14ac:dyDescent="0.2">
      <c r="A39" s="37">
        <v>43979</v>
      </c>
      <c r="B39" s="1" t="s">
        <v>172</v>
      </c>
      <c r="C39" s="1" t="s">
        <v>173</v>
      </c>
      <c r="D39" s="32">
        <v>1992</v>
      </c>
      <c r="E39" s="41">
        <v>1</v>
      </c>
      <c r="F39" s="32">
        <v>10</v>
      </c>
      <c r="G39" s="32">
        <v>10</v>
      </c>
      <c r="H39" s="32" t="s">
        <v>28</v>
      </c>
      <c r="I39" s="32" t="s">
        <v>89</v>
      </c>
      <c r="J39" s="32" t="s">
        <v>82</v>
      </c>
      <c r="K39" s="32">
        <f>IF(J39="syllables",1,IF(J39="trigrams",2,IF(J39="strings",3,IF(J39="visual array",4,IF(J39="characters",5,IF(J39="letters",6,IF(J39="free forms",7,IF(J39="odors",8,IF(J39="words",9,IF(J39="pictures",10,IF(J39="object pictures",11,IF(J39="faces",12,IF(J39="names",13,IF(J39="idioms",14,IF(J39="grades",15,IF(J39="syllable-digit pairs",16,IF(J39="trigram-word pairs",17,IF(J39="word-digit pairs",18,IF(J39="English-Swahili pairs",19,IF(J39="spatial position",20,IF(J39="word pairs",21,IF(J39="word triads",22,IF(J39="generated words",23,IF(J39="word definition pairs",24,IF(J39="math problems",25,IF(J39="famous faces",26,IF(J39="famous names",27,IF(J39="famous voices",28,IF(J39="television programs",29,IF(J39="race horses",30,IF(J39="new vocabulary",31,IF(J39="sentences",32,IF(J39="concepts",33,IF(J39="ad slides",34,IF(J39="scenes",35,IF(J39="famous scenes",36,IF(J39="poems",37,IF(J39="walk",38,IF(J39="faces and events",39,IF(J39="events and names",40,IF(J39="flashbulb",41,IF(J39="stories",42,IF(J39="course material",43,IF(J39="autobiographical",44,IF(J39="novels",45,IF(J39="public events",46,"99"))))))))))))))))))))))))))))))))))))))))))))))</f>
        <v>10</v>
      </c>
      <c r="L39" s="32">
        <f>IF(J39="syllables",1,IF(J39="trigrams",1,IF(J39="strings",1,IF(J39="visual array",1,IF(J39="characters",1,IF(J39="letters",1,IF(J39="free forms",1,IF(J39="odors",2,IF(J39="words",2,IF(J39="pictures",2,IF(J39="object pictures",2,IF(J39="faces",2,IF(J39="names",2,IF(J39="idioms","2",IF(J39="grades",2,IF(J39="syllable-digit pairs",3,IF(J39="trigram-word pairs",3,IF(J39="word-digit pairs",3,IF(J39="English-Swahili pairs",3,IF(J39="spatial position",3,IF(J39="word pairs",4,IF(J39="word triads",4,IF(J39="generated words",4,IF(J39="word definition pairs",4,IF(J39="math problems",4,IF(J39="famous faces",4,IF(J39="famous names",4,IF(J39="famous voices",4,IF(J39="television programs",4,IF(J39="race horses",4,IF(J39="new vocabulary",4,IF(J39="sentences",5,IF(J39="concepts",5,IF(J39="ad slides",5,IF(J39="scenes",5,IF(J39="famous scenes",5,IF(J39="poems",6,IF(J39="walk",6,IF(J39="faces and events",6,IF(J39="events and names",6,IF(J39="flashbulb",7,IF(J39="stories",7,IF(J39="course material",7,IF(J39="autobiographical",7,IF(J39="novels",7,IF(J39="public events",7,"99"))))))))))))))))))))))))))))))))))))))))))))))</f>
        <v>2</v>
      </c>
      <c r="M39" s="32">
        <v>0</v>
      </c>
      <c r="N39" s="32">
        <v>1</v>
      </c>
      <c r="O39" s="32">
        <v>0</v>
      </c>
      <c r="P39" s="32"/>
      <c r="Q39" s="32" t="s">
        <v>18</v>
      </c>
      <c r="R39" s="32">
        <f>IF(Q39="Free Recall",1,IF(Q39="Cued Recall",2,IF(Q39="Recognition",3,IF(Q39="Multiple Choice",4,IF(Q39="Savings",5,IF(Q39="Stem Completion",6,IF(Q39="Fragment Completion",7,IF(Q39="anagram solution",8,IF(Q39="Matching",9,IF(Q39="Problem Solving",10,"99"))))))))))</f>
        <v>3</v>
      </c>
      <c r="S39" s="31" t="s">
        <v>196</v>
      </c>
      <c r="T39" s="31" t="s">
        <v>132</v>
      </c>
      <c r="U39" s="32">
        <f>IF(T39="within",1,0)</f>
        <v>1</v>
      </c>
      <c r="V39" s="31">
        <v>30</v>
      </c>
      <c r="W39" s="32">
        <f>F39*V39</f>
        <v>300</v>
      </c>
      <c r="X39" s="32">
        <v>3</v>
      </c>
      <c r="Y39" s="41">
        <f>AV38</f>
        <v>600</v>
      </c>
      <c r="Z39" s="32" t="s">
        <v>174</v>
      </c>
      <c r="AA39" s="32">
        <f>60*60*31</f>
        <v>111600</v>
      </c>
      <c r="AB39" s="32" t="str">
        <f>IF(AA39&lt;60,"1",IF(AA39&lt;=43200,"2",IF(AA39&lt;=777600,"3","4")))</f>
        <v>3</v>
      </c>
      <c r="AC39" s="28">
        <f>AVERAGE(AV38:DA38)</f>
        <v>39800</v>
      </c>
      <c r="AD39" s="32" t="str">
        <f>IF(AC39&lt;60,"1",IF(AC39&lt;=43200,"2",IF(AC39&lt;=777600,"3","4")))</f>
        <v>2</v>
      </c>
      <c r="AE39" s="41">
        <f>AA39-Y39</f>
        <v>111000</v>
      </c>
      <c r="AF39" s="45">
        <f>AV39</f>
        <v>1.9500924186938677</v>
      </c>
      <c r="AG39" s="28">
        <f>((AW39-AV39)+(AX39-AW39))/2</f>
        <v>-0.58762683064586685</v>
      </c>
      <c r="AH39" s="4"/>
      <c r="AI39" s="28">
        <f>RSQ(AV39:AX39,AV38:AX38)</f>
        <v>0.80740791491291619</v>
      </c>
      <c r="AJ39" s="51">
        <f>SLOPE(AV39:AX39,AV38:AX38)</f>
        <v>-8.4808557537713678E-6</v>
      </c>
      <c r="AK39" s="28">
        <f>INTERCEPT(AV39:AX39,AV38:AX38)</f>
        <v>1.7055190362171644</v>
      </c>
      <c r="AL39" s="28">
        <f>INDEX(LINEST(LN(AV39:AX39),LN(AV38:AX38),TRUE,TRUE),3,1)</f>
        <v>0.98692487987137489</v>
      </c>
      <c r="AM39" s="28">
        <f>INDEX(LINEST(LN(AV39:AX39),LN(AV38:AX38)),1)</f>
        <v>-0.17719780295865997</v>
      </c>
      <c r="AN39" s="28">
        <f>EXP(INDEX(LINEST(LN(AV39:AX39),LN(AV38:AX38)),1,2))</f>
        <v>6.2568279805252649</v>
      </c>
      <c r="AO39" s="47">
        <f>INDEX(LINEST((AV39:AX39),LN(AV38:AX38),TRUE,TRUE),3,1)</f>
        <v>0.99985569252502215</v>
      </c>
      <c r="AP39" s="47">
        <f>INDEX(LINEST((AV39:AX39),LN(AV38:AX38)),1)</f>
        <v>-0.22482042055508536</v>
      </c>
      <c r="AQ39" s="48">
        <f>INDEX(LINEST(LN(AV39:AX39),SQRT(AV38:AX38),TRUE,TRUE),3,1)</f>
        <v>0.96215696991533461</v>
      </c>
      <c r="AR39" s="56">
        <f>INDEX(LINEST(LN(AV39:AX39),SQRT((AV38:AX38))),1)</f>
        <v>-2.7868080664488837E-3</v>
      </c>
      <c r="AS39" s="49">
        <f>INDEX(LINEST(1/(AV39:AX39),1/(SQRT(AV38:AX38)),TRUE,TRUE),3,1)</f>
        <v>0.72141789497417141</v>
      </c>
      <c r="AT39" s="49">
        <f>INDEX(LINEST(1/(AV39:AX39),1/SQRT(AV38:AX38)),1)</f>
        <v>-17.247574938138769</v>
      </c>
      <c r="AU39" s="3"/>
      <c r="AV39" s="25">
        <v>1.9500924186938677</v>
      </c>
      <c r="AW39" s="25">
        <v>1.3790117555551904</v>
      </c>
      <c r="AX39" s="25">
        <v>0.77483875740213404</v>
      </c>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1"/>
      <c r="CS39" s="1"/>
      <c r="CT39" s="1"/>
      <c r="CU39" s="1"/>
    </row>
    <row r="40" spans="1:99" s="9" customFormat="1" ht="12" customHeight="1" x14ac:dyDescent="0.2">
      <c r="A40" s="37">
        <v>43509</v>
      </c>
      <c r="B40" s="1"/>
      <c r="C40" s="1"/>
      <c r="D40" s="32"/>
      <c r="E40" s="41"/>
      <c r="F40" s="32"/>
      <c r="G40" s="32"/>
      <c r="H40" s="32"/>
      <c r="I40" s="32"/>
      <c r="J40" s="32"/>
      <c r="K40" s="36"/>
      <c r="L40" s="36"/>
      <c r="M40" s="32"/>
      <c r="N40" s="32"/>
      <c r="O40" s="32"/>
      <c r="P40" s="32"/>
      <c r="Q40" s="32"/>
      <c r="R40" s="32"/>
      <c r="S40" s="32"/>
      <c r="T40" s="32"/>
      <c r="U40" s="32"/>
      <c r="V40" s="32"/>
      <c r="W40" s="32"/>
      <c r="X40" s="32"/>
      <c r="Y40" s="41"/>
      <c r="Z40" s="32"/>
      <c r="AA40" s="32"/>
      <c r="AB40" s="32"/>
      <c r="AC40" s="32"/>
      <c r="AD40" s="32"/>
      <c r="AE40" s="32"/>
      <c r="AF40" s="45"/>
      <c r="AG40" s="28"/>
      <c r="AH40" s="4"/>
      <c r="AI40" s="28"/>
      <c r="AJ40" s="51"/>
      <c r="AK40" s="28"/>
      <c r="AL40" s="28"/>
      <c r="AM40" s="28"/>
      <c r="AN40" s="28"/>
      <c r="AO40" s="28"/>
      <c r="AP40" s="28"/>
      <c r="AQ40" s="28"/>
      <c r="AR40" s="51"/>
      <c r="AS40" s="28"/>
      <c r="AT40" s="28"/>
      <c r="AU40" s="4"/>
      <c r="AV40" s="18">
        <v>40</v>
      </c>
      <c r="AW40" s="18">
        <f>24*3600</f>
        <v>86400</v>
      </c>
      <c r="AX40" s="18">
        <f>7*24*3600*1</f>
        <v>604800</v>
      </c>
      <c r="AY40" s="18">
        <f>7*24*3600*6</f>
        <v>3628800</v>
      </c>
      <c r="AZ40" s="25" t="s">
        <v>112</v>
      </c>
      <c r="BB40" s="25"/>
      <c r="BC40" s="25"/>
      <c r="BD40" s="25"/>
      <c r="BE40" s="25"/>
      <c r="BF40" s="25"/>
      <c r="BG40" s="25"/>
      <c r="BH40" s="25"/>
      <c r="BI40" s="25"/>
      <c r="BJ40" s="25"/>
      <c r="BK40" s="25"/>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1"/>
      <c r="CS40" s="1"/>
      <c r="CT40" s="1"/>
      <c r="CU40" s="1"/>
    </row>
    <row r="41" spans="1:99" s="9" customFormat="1" ht="12" customHeight="1" x14ac:dyDescent="0.2">
      <c r="A41" s="37">
        <v>43509</v>
      </c>
      <c r="B41" s="1" t="s">
        <v>51</v>
      </c>
      <c r="C41" s="1" t="s">
        <v>52</v>
      </c>
      <c r="D41" s="32">
        <v>2016</v>
      </c>
      <c r="E41" s="41">
        <v>1</v>
      </c>
      <c r="F41" s="32">
        <v>95</v>
      </c>
      <c r="G41" s="32">
        <v>23.8</v>
      </c>
      <c r="H41" s="32" t="s">
        <v>143</v>
      </c>
      <c r="I41" s="32" t="s">
        <v>139</v>
      </c>
      <c r="J41" s="32" t="s">
        <v>83</v>
      </c>
      <c r="K41" s="32">
        <f>IF(J41="syllables",1,IF(J41="trigrams",2,IF(J41="strings",3,IF(J41="visual array",4,IF(J41="characters",5,IF(J41="letters",6,IF(J41="free forms",7,IF(J41="odors",8,IF(J41="words",9,IF(J41="pictures",10,IF(J41="object pictures",11,IF(J41="faces",12,IF(J41="names",13,IF(J41="idioms",14,IF(J41="grades",15,IF(J41="syllable-digit pairs",16,IF(J41="trigram-word pairs",17,IF(J41="word-digit pairs",18,IF(J41="English-Swahili pairs",19,IF(J41="spatial position",20,IF(J41="word pairs",21,IF(J41="word triads",22,IF(J41="generated words",23,IF(J41="word definition pairs",24,IF(J41="math problems",25,IF(J41="famous faces",26,IF(J41="famous names",27,IF(J41="famous voices",28,IF(J41="television programs",29,IF(J41="race horses",30,IF(J41="new vocabulary",31,IF(J41="sentences",32,IF(J41="concepts",33,IF(J41="ad slides",34,IF(J41="scenes",35,IF(J41="famous scenes",36,IF(J41="poems",37,IF(J41="walk",38,IF(J41="faces and events",39,IF(J41="events and names",40,IF(J41="flashbulb",41,IF(J41="stories",42,IF(J41="course material",43,IF(J41="autobiographical",44,IF(J41="novels",45,IF(J41="public events",46,"99"))))))))))))))))))))))))))))))))))))))))))))))</f>
        <v>7</v>
      </c>
      <c r="L41" s="32">
        <f>IF(J41="syllables",1,IF(J41="trigrams",1,IF(J41="strings",1,IF(J41="visual array",1,IF(J41="characters",1,IF(J41="letters",1,IF(J41="free forms",1,IF(J41="odors",2,IF(J41="words",2,IF(J41="pictures",2,IF(J41="object pictures",2,IF(J41="faces",2,IF(J41="names",2,IF(J41="idioms","2",IF(J41="grades",2,IF(J41="syllable-digit pairs",3,IF(J41="trigram-word pairs",3,IF(J41="word-digit pairs",3,IF(J41="English-Swahili pairs",3,IF(J41="spatial position",3,IF(J41="word pairs",4,IF(J41="word triads",4,IF(J41="generated words",4,IF(J41="word definition pairs",4,IF(J41="math problems",4,IF(J41="famous faces",4,IF(J41="famous names",4,IF(J41="famous voices",4,IF(J41="television programs",4,IF(J41="race horses",4,IF(J41="new vocabulary",4,IF(J41="sentences",5,IF(J41="concepts",5,IF(J41="ad slides",5,IF(J41="scenes",5,IF(J41="famous scenes",5,IF(J41="poems",6,IF(J41="walk",6,IF(J41="faces and events",6,IF(J41="events and names",6,IF(J41="flashbulb",7,IF(J41="stories",7,IF(J41="course material",7,IF(J41="autobiographical",7,IF(J41="novels",7,IF(J41="public events",7,"99"))))))))))))))))))))))))))))))))))))))))))))))</f>
        <v>1</v>
      </c>
      <c r="M41" s="32">
        <v>1</v>
      </c>
      <c r="N41" s="32">
        <v>2</v>
      </c>
      <c r="O41" s="32">
        <v>0</v>
      </c>
      <c r="P41" s="32"/>
      <c r="Q41" s="32" t="s">
        <v>18</v>
      </c>
      <c r="R41" s="32">
        <f>IF(Q41="Free Recall",1,IF(Q41="Cued Recall",2,IF(Q41="Recognition",3,IF(Q41="Multiple Choice",4,IF(Q41="Savings",5,IF(Q41="Stem Completion",6,IF(Q41="Fragment Completion",7,IF(Q41="anagram solution",8,IF(Q41="Matching",9,IF(Q41="Problem Solving",10,"99"))))))))))</f>
        <v>3</v>
      </c>
      <c r="S41" s="77" t="s">
        <v>196</v>
      </c>
      <c r="T41" s="32" t="s">
        <v>72</v>
      </c>
      <c r="U41" s="32">
        <f>IF(T41="within",1,0)</f>
        <v>0</v>
      </c>
      <c r="V41" s="32">
        <v>40</v>
      </c>
      <c r="W41" s="32">
        <f>F41*V41</f>
        <v>3800</v>
      </c>
      <c r="X41" s="32">
        <v>4</v>
      </c>
      <c r="Y41" s="41">
        <f>AV40</f>
        <v>40</v>
      </c>
      <c r="Z41" s="32" t="s">
        <v>53</v>
      </c>
      <c r="AA41" s="32">
        <v>3628800</v>
      </c>
      <c r="AB41" s="32" t="str">
        <f>IF(AA41&lt;60,"1",IF(AA41&lt;=43200,"2",IF(AA41&lt;=777600,"3","4")))</f>
        <v>4</v>
      </c>
      <c r="AC41" s="28">
        <f>AVERAGE(AV40:DA40)</f>
        <v>1080010</v>
      </c>
      <c r="AD41" s="32" t="str">
        <f>IF(AC41&lt;60,"1",IF(AC41&lt;=43200,"2",IF(AC41&lt;=777600,"3","4")))</f>
        <v>4</v>
      </c>
      <c r="AE41" s="41">
        <f>AA41-Y41</f>
        <v>3628760</v>
      </c>
      <c r="AF41" s="45">
        <f>AV41</f>
        <v>1.9195966439696583</v>
      </c>
      <c r="AG41" s="28">
        <f>((AW41-AV41)+(AX41-AW41)+(AY41-AX41))/3</f>
        <v>-0.12730372321219682</v>
      </c>
      <c r="AH41" s="4"/>
      <c r="AI41" s="28">
        <f>RSQ(AV41:AY41,AV40:AY40)</f>
        <v>0.95056289588139609</v>
      </c>
      <c r="AJ41" s="51">
        <f>SLOPE(AV41:AY41,AV40:AY40)</f>
        <v>-1.2107640029589467E-7</v>
      </c>
      <c r="AK41" s="28">
        <f>INTERCEPT(AV41:AY41,AV40:AY40)</f>
        <v>1.9840747002057604</v>
      </c>
      <c r="AL41" s="28">
        <f>INDEX(LINEST(LN(AV41:AY41),LN(AV40:AY40),TRUE,TRUE),3,1)</f>
        <v>0.22858481550131776</v>
      </c>
      <c r="AM41" s="28">
        <f>INDEX(LINEST(LN(AV41:AY41),LN(AV40:AY40)),1)</f>
        <v>-1.1639941262594255E-2</v>
      </c>
      <c r="AN41" s="28">
        <f>EXP(INDEX(LINEST(LN(AV41:AY41),LN(AV40:AY40)),1,2))</f>
        <v>2.091924736358671</v>
      </c>
      <c r="AO41" s="47">
        <f>INDEX(LINEST((AV41:AY41),LN(AV40:AY40),TRUE,TRUE),3,1)</f>
        <v>0.21830565619835771</v>
      </c>
      <c r="AP41" s="47">
        <f>INDEX(LINEST((AV41:AY41),LN(AV40:AY40)),1)</f>
        <v>-1.9866513539872316E-2</v>
      </c>
      <c r="AQ41" s="48">
        <f>INDEX(LINEST(LN(AV41:AY41),SQRT(AV40:AY40),TRUE,TRUE),3,1)</f>
        <v>0.81581940169749612</v>
      </c>
      <c r="AR41" s="56">
        <f>INDEX(LINEST(LN(AV41:AY41),SQRT((AV40:AY40))),1)</f>
        <v>-1.3217507778669901E-4</v>
      </c>
      <c r="AS41" s="49">
        <f>INDEX(LINEST(1/(AV41:AY41),1/(SQRT(AV40:AY40)),TRUE,TRUE),3,1)</f>
        <v>6.0284471408164064E-2</v>
      </c>
      <c r="AT41" s="49">
        <f>INDEX(LINEST(1/(AV41:AY41),1/SQRT(AV40:AY40)),1)</f>
        <v>-0.22112718545828439</v>
      </c>
      <c r="AU41" s="3"/>
      <c r="AV41" s="25">
        <v>1.9195966439696583</v>
      </c>
      <c r="AW41" s="25">
        <v>2.0078355636847913</v>
      </c>
      <c r="AX41" s="25">
        <v>1.9481262265012473</v>
      </c>
      <c r="AY41" s="25">
        <v>1.5376854743330679</v>
      </c>
      <c r="AZ41" s="25"/>
      <c r="BA41" s="25"/>
      <c r="BB41" s="25"/>
      <c r="BC41" s="25"/>
      <c r="BD41" s="25"/>
      <c r="BE41" s="25"/>
      <c r="BF41" s="25"/>
      <c r="BG41" s="25"/>
      <c r="BH41" s="25"/>
      <c r="BI41" s="25"/>
      <c r="BJ41" s="25"/>
      <c r="BK41" s="25"/>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1"/>
      <c r="CS41" s="1"/>
      <c r="CT41" s="1"/>
      <c r="CU41" s="1"/>
    </row>
    <row r="42" spans="1:99" s="9" customFormat="1" ht="12" customHeight="1" x14ac:dyDescent="0.2">
      <c r="A42" s="37">
        <v>43509</v>
      </c>
      <c r="B42" s="1"/>
      <c r="C42" s="1"/>
      <c r="D42" s="32"/>
      <c r="E42" s="41"/>
      <c r="F42" s="32"/>
      <c r="G42" s="32"/>
      <c r="H42" s="32"/>
      <c r="I42" s="32"/>
      <c r="J42" s="32"/>
      <c r="K42" s="36"/>
      <c r="L42" s="36"/>
      <c r="M42" s="32"/>
      <c r="N42" s="32"/>
      <c r="O42" s="32"/>
      <c r="P42" s="32"/>
      <c r="Q42" s="32"/>
      <c r="R42" s="32"/>
      <c r="S42" s="32"/>
      <c r="T42" s="32"/>
      <c r="U42" s="32"/>
      <c r="V42" s="32"/>
      <c r="W42" s="32"/>
      <c r="X42" s="32"/>
      <c r="Y42" s="41"/>
      <c r="Z42" s="32"/>
      <c r="AA42" s="32"/>
      <c r="AB42" s="32"/>
      <c r="AC42" s="32"/>
      <c r="AD42" s="32"/>
      <c r="AE42" s="32"/>
      <c r="AF42" s="45"/>
      <c r="AG42" s="28"/>
      <c r="AH42" s="4"/>
      <c r="AI42" s="28"/>
      <c r="AJ42" s="51"/>
      <c r="AK42" s="28"/>
      <c r="AL42" s="28"/>
      <c r="AM42" s="28"/>
      <c r="AN42" s="28"/>
      <c r="AO42" s="28"/>
      <c r="AP42" s="28"/>
      <c r="AQ42" s="28"/>
      <c r="AR42" s="51"/>
      <c r="AS42" s="28"/>
      <c r="AT42" s="28"/>
      <c r="AU42" s="4"/>
      <c r="AV42" s="18">
        <v>40</v>
      </c>
      <c r="AW42" s="18">
        <f>24*3600</f>
        <v>86400</v>
      </c>
      <c r="AX42" s="18">
        <f>7*24*3600*1</f>
        <v>604800</v>
      </c>
      <c r="AY42" s="18">
        <f>7*24*3600*6</f>
        <v>3628800</v>
      </c>
      <c r="AZ42" s="25"/>
      <c r="BA42" s="25"/>
      <c r="BB42" s="25"/>
      <c r="BC42" s="25"/>
      <c r="BD42" s="25"/>
      <c r="BE42" s="25"/>
      <c r="BF42" s="25"/>
      <c r="BG42" s="25"/>
      <c r="BH42" s="25"/>
      <c r="BI42" s="25"/>
      <c r="BJ42" s="25"/>
      <c r="BK42" s="25"/>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1"/>
      <c r="CS42" s="1"/>
      <c r="CT42" s="1"/>
      <c r="CU42" s="1"/>
    </row>
    <row r="43" spans="1:99" s="9" customFormat="1" ht="12" customHeight="1" x14ac:dyDescent="0.2">
      <c r="A43" s="37">
        <v>43509</v>
      </c>
      <c r="B43" s="1" t="s">
        <v>51</v>
      </c>
      <c r="C43" s="1" t="s">
        <v>52</v>
      </c>
      <c r="D43" s="32">
        <v>2016</v>
      </c>
      <c r="E43" s="41">
        <v>1</v>
      </c>
      <c r="F43" s="32">
        <v>95</v>
      </c>
      <c r="G43" s="32">
        <v>23.8</v>
      </c>
      <c r="H43" s="32" t="s">
        <v>143</v>
      </c>
      <c r="I43" s="32" t="s">
        <v>140</v>
      </c>
      <c r="J43" s="32" t="s">
        <v>83</v>
      </c>
      <c r="K43" s="32">
        <f>IF(J43="syllables",1,IF(J43="trigrams",2,IF(J43="strings",3,IF(J43="visual array",4,IF(J43="characters",5,IF(J43="letters",6,IF(J43="free forms",7,IF(J43="odors",8,IF(J43="words",9,IF(J43="pictures",10,IF(J43="object pictures",11,IF(J43="faces",12,IF(J43="names",13,IF(J43="idioms",14,IF(J43="grades",15,IF(J43="syllable-digit pairs",16,IF(J43="trigram-word pairs",17,IF(J43="word-digit pairs",18,IF(J43="English-Swahili pairs",19,IF(J43="spatial position",20,IF(J43="word pairs",21,IF(J43="word triads",22,IF(J43="generated words",23,IF(J43="word definition pairs",24,IF(J43="math problems",25,IF(J43="famous faces",26,IF(J43="famous names",27,IF(J43="famous voices",28,IF(J43="television programs",29,IF(J43="race horses",30,IF(J43="new vocabulary",31,IF(J43="sentences",32,IF(J43="concepts",33,IF(J43="ad slides",34,IF(J43="scenes",35,IF(J43="famous scenes",36,IF(J43="poems",37,IF(J43="walk",38,IF(J43="faces and events",39,IF(J43="events and names",40,IF(J43="flashbulb",41,IF(J43="stories",42,IF(J43="course material",43,IF(J43="autobiographical",44,IF(J43="novels",45,IF(J43="public events",46,"99"))))))))))))))))))))))))))))))))))))))))))))))</f>
        <v>7</v>
      </c>
      <c r="L43" s="32">
        <f>IF(J43="syllables",1,IF(J43="trigrams",1,IF(J43="strings",1,IF(J43="visual array",1,IF(J43="characters",1,IF(J43="letters",1,IF(J43="free forms",1,IF(J43="odors",2,IF(J43="words",2,IF(J43="pictures",2,IF(J43="object pictures",2,IF(J43="faces",2,IF(J43="names",2,IF(J43="idioms","2",IF(J43="grades",2,IF(J43="syllable-digit pairs",3,IF(J43="trigram-word pairs",3,IF(J43="word-digit pairs",3,IF(J43="English-Swahili pairs",3,IF(J43="spatial position",3,IF(J43="word pairs",4,IF(J43="word triads",4,IF(J43="generated words",4,IF(J43="word definition pairs",4,IF(J43="math problems",4,IF(J43="famous faces",4,IF(J43="famous names",4,IF(J43="famous voices",4,IF(J43="television programs",4,IF(J43="race horses",4,IF(J43="new vocabulary",4,IF(J43="sentences",5,IF(J43="concepts",5,IF(J43="ad slides",5,IF(J43="scenes",5,IF(J43="famous scenes",5,IF(J43="poems",6,IF(J43="walk",6,IF(J43="faces and events",6,IF(J43="events and names",6,IF(J43="flashbulb",7,IF(J43="stories",7,IF(J43="course material",7,IF(J43="autobiographical",7,IF(J43="novels",7,IF(J43="public events",7,"99"))))))))))))))))))))))))))))))))))))))))))))))</f>
        <v>1</v>
      </c>
      <c r="M43" s="32">
        <v>0</v>
      </c>
      <c r="N43" s="32">
        <v>1</v>
      </c>
      <c r="O43" s="32">
        <v>0</v>
      </c>
      <c r="P43" s="32"/>
      <c r="Q43" s="32" t="s">
        <v>18</v>
      </c>
      <c r="R43" s="32">
        <f>IF(Q43="Free Recall",1,IF(Q43="Cued Recall",2,IF(Q43="Recognition",3,IF(Q43="Multiple Choice",4,IF(Q43="Savings",5,IF(Q43="Stem Completion",6,IF(Q43="Fragment Completion",7,IF(Q43="anagram solution",8,IF(Q43="Matching",9,IF(Q43="Problem Solving",10,"99"))))))))))</f>
        <v>3</v>
      </c>
      <c r="S43" s="77" t="s">
        <v>196</v>
      </c>
      <c r="T43" s="32" t="s">
        <v>72</v>
      </c>
      <c r="U43" s="32">
        <f>IF(T43="within",1,0)</f>
        <v>0</v>
      </c>
      <c r="V43" s="32">
        <v>40</v>
      </c>
      <c r="W43" s="32">
        <f>F43*V43</f>
        <v>3800</v>
      </c>
      <c r="X43" s="32">
        <v>4</v>
      </c>
      <c r="Y43" s="41">
        <f>AV42</f>
        <v>40</v>
      </c>
      <c r="Z43" s="32" t="s">
        <v>53</v>
      </c>
      <c r="AA43" s="32">
        <v>3628800</v>
      </c>
      <c r="AB43" s="32" t="str">
        <f>IF(AA43&lt;60,"1",IF(AA43&lt;=43200,"2",IF(AA43&lt;=777600,"3","4")))</f>
        <v>4</v>
      </c>
      <c r="AC43" s="28">
        <f>AVERAGE(AV42:DA42)</f>
        <v>1080010</v>
      </c>
      <c r="AD43" s="32" t="str">
        <f>IF(AC43&lt;60,"1",IF(AC43&lt;=43200,"2",IF(AC43&lt;=777600,"3","4")))</f>
        <v>4</v>
      </c>
      <c r="AE43" s="41">
        <f>AA43-Y43</f>
        <v>3628760</v>
      </c>
      <c r="AF43" s="45">
        <f>AV43</f>
        <v>1.0796653968408882</v>
      </c>
      <c r="AG43" s="28">
        <f>((AW43-AV43)+(AX43-AW43)+(AY43-AX43))/3</f>
        <v>-0.23249417254712426</v>
      </c>
      <c r="AH43" s="4"/>
      <c r="AI43" s="28">
        <f>RSQ(AV43:AY43,AV42:AY42)</f>
        <v>0.82195991961340908</v>
      </c>
      <c r="AJ43" s="51">
        <f>SLOPE(AV43:AY43,AV42:AY42)</f>
        <v>-1.7551162227100594E-7</v>
      </c>
      <c r="AK43" s="28">
        <f>INTERCEPT(AV43:AY43,AV42:AY42)</f>
        <v>0.98650823083557937</v>
      </c>
      <c r="AL43" s="28">
        <f>INDEX(LINEST(LN(AV43:AY43),LN(AV42:AY42),TRUE,TRUE),3,1)</f>
        <v>0.57455131686228722</v>
      </c>
      <c r="AM43" s="28">
        <f>INDEX(LINEST(LN(AV43:AY43),LN(AV42:AY42)),1)</f>
        <v>-7.3519163835050028E-2</v>
      </c>
      <c r="AN43" s="28">
        <f>EXP(INDEX(LINEST(LN(AV43:AY43),LN(AV42:AY42)),1,2))</f>
        <v>1.6350275670012504</v>
      </c>
      <c r="AO43" s="47">
        <f>INDEX(LINEST((AV43:AY43),LN(AV42:AY42),TRUE,TRUE),3,1)</f>
        <v>0.62314339112810069</v>
      </c>
      <c r="AP43" s="47">
        <f>INDEX(LINEST((AV43:AY43),LN(AV42:AY42)),1)</f>
        <v>-5.2323242383837662E-2</v>
      </c>
      <c r="AQ43" s="48">
        <f>INDEX(LINEST(LN(AV43:AY43),SQRT(AV42:AY42),TRUE,TRUE),3,1)</f>
        <v>0.97684781933930531</v>
      </c>
      <c r="AR43" s="56">
        <f>INDEX(LINEST(LN(AV43:AY43),SQRT((AV42:AY42))),1)</f>
        <v>-5.7620239940363435E-4</v>
      </c>
      <c r="AS43" s="49">
        <f>INDEX(LINEST(1/(AV43:AY43),1/(SQRT(AV42:AY42)),TRUE,TRUE),3,1)</f>
        <v>0.24097221419566045</v>
      </c>
      <c r="AT43" s="49">
        <f>INDEX(LINEST(1/(AV43:AY43),1/SQRT(AV42:AY42)),1)</f>
        <v>-4.9675148811115015</v>
      </c>
      <c r="AU43" s="3"/>
      <c r="AV43" s="25">
        <v>1.0796653968408882</v>
      </c>
      <c r="AW43" s="25">
        <v>1.052658466739713</v>
      </c>
      <c r="AX43" s="25">
        <v>0.6733089518865647</v>
      </c>
      <c r="AY43" s="25">
        <v>0.38218287919951538</v>
      </c>
      <c r="AZ43" s="25"/>
      <c r="BA43" s="25"/>
      <c r="BB43" s="25"/>
      <c r="BC43" s="25"/>
      <c r="BD43" s="25"/>
      <c r="BE43" s="25"/>
      <c r="BF43" s="25"/>
      <c r="BG43" s="25"/>
      <c r="BH43" s="25"/>
      <c r="BI43" s="25"/>
      <c r="BJ43" s="25"/>
      <c r="BK43" s="25"/>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1"/>
      <c r="CS43" s="1"/>
      <c r="CT43" s="1"/>
      <c r="CU43" s="1"/>
    </row>
    <row r="44" spans="1:99" s="9" customFormat="1" ht="12" customHeight="1" x14ac:dyDescent="0.2">
      <c r="A44" s="37">
        <v>43509</v>
      </c>
      <c r="B44" s="1"/>
      <c r="C44" s="1"/>
      <c r="D44" s="32"/>
      <c r="E44" s="41"/>
      <c r="F44" s="32"/>
      <c r="G44" s="32"/>
      <c r="H44" s="32"/>
      <c r="I44" s="32"/>
      <c r="J44" s="32"/>
      <c r="K44" s="36"/>
      <c r="L44" s="36"/>
      <c r="M44" s="32"/>
      <c r="N44" s="32"/>
      <c r="O44" s="32"/>
      <c r="P44" s="32"/>
      <c r="Q44" s="32"/>
      <c r="R44" s="32"/>
      <c r="S44" s="77"/>
      <c r="T44" s="32"/>
      <c r="U44" s="32"/>
      <c r="V44" s="32"/>
      <c r="W44" s="32"/>
      <c r="X44" s="32"/>
      <c r="Y44" s="41"/>
      <c r="Z44" s="32"/>
      <c r="AA44" s="32"/>
      <c r="AB44" s="32"/>
      <c r="AC44" s="32"/>
      <c r="AD44" s="32"/>
      <c r="AE44" s="32"/>
      <c r="AF44" s="45"/>
      <c r="AG44" s="28"/>
      <c r="AH44" s="4"/>
      <c r="AI44" s="28"/>
      <c r="AJ44" s="51"/>
      <c r="AK44" s="28"/>
      <c r="AL44" s="28"/>
      <c r="AM44" s="28"/>
      <c r="AN44" s="28"/>
      <c r="AO44" s="28"/>
      <c r="AP44" s="28"/>
      <c r="AQ44" s="28"/>
      <c r="AR44" s="51"/>
      <c r="AS44" s="28"/>
      <c r="AT44" s="28"/>
      <c r="AU44" s="4"/>
      <c r="AV44" s="18">
        <v>40</v>
      </c>
      <c r="AW44" s="18">
        <f>24*3600</f>
        <v>86400</v>
      </c>
      <c r="AX44" s="18">
        <f>7*24*3600*1</f>
        <v>604800</v>
      </c>
      <c r="AY44" s="18">
        <f>7*24*3600*6</f>
        <v>3628800</v>
      </c>
      <c r="AZ44" s="25"/>
      <c r="BA44" s="25"/>
      <c r="BB44" s="25"/>
      <c r="BC44" s="25"/>
      <c r="BD44" s="25"/>
      <c r="BE44" s="25"/>
      <c r="BF44" s="25"/>
      <c r="BG44" s="25"/>
      <c r="BH44" s="25"/>
      <c r="BI44" s="25"/>
      <c r="BJ44" s="25"/>
      <c r="BK44" s="25"/>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1"/>
      <c r="CS44" s="1"/>
      <c r="CT44" s="1"/>
      <c r="CU44" s="1"/>
    </row>
    <row r="45" spans="1:99" s="9" customFormat="1" ht="12" customHeight="1" x14ac:dyDescent="0.2">
      <c r="A45" s="37">
        <v>43509</v>
      </c>
      <c r="B45" s="1" t="s">
        <v>51</v>
      </c>
      <c r="C45" s="1" t="s">
        <v>52</v>
      </c>
      <c r="D45" s="32">
        <v>2016</v>
      </c>
      <c r="E45" s="41">
        <v>1</v>
      </c>
      <c r="F45" s="32">
        <v>95</v>
      </c>
      <c r="G45" s="32">
        <v>23.8</v>
      </c>
      <c r="H45" s="32" t="s">
        <v>143</v>
      </c>
      <c r="I45" s="32" t="s">
        <v>141</v>
      </c>
      <c r="J45" s="32" t="s">
        <v>83</v>
      </c>
      <c r="K45" s="32">
        <f>IF(J45="syllables",1,IF(J45="trigrams",2,IF(J45="strings",3,IF(J45="visual array",4,IF(J45="characters",5,IF(J45="letters",6,IF(J45="free forms",7,IF(J45="odors",8,IF(J45="words",9,IF(J45="pictures",10,IF(J45="object pictures",11,IF(J45="faces",12,IF(J45="names",13,IF(J45="idioms",14,IF(J45="grades",15,IF(J45="syllable-digit pairs",16,IF(J45="trigram-word pairs",17,IF(J45="word-digit pairs",18,IF(J45="English-Swahili pairs",19,IF(J45="spatial position",20,IF(J45="word pairs",21,IF(J45="word triads",22,IF(J45="generated words",23,IF(J45="word definition pairs",24,IF(J45="math problems",25,IF(J45="famous faces",26,IF(J45="famous names",27,IF(J45="famous voices",28,IF(J45="television programs",29,IF(J45="race horses",30,IF(J45="new vocabulary",31,IF(J45="sentences",32,IF(J45="concepts",33,IF(J45="ad slides",34,IF(J45="scenes",35,IF(J45="famous scenes",36,IF(J45="poems",37,IF(J45="walk",38,IF(J45="faces and events",39,IF(J45="events and names",40,IF(J45="flashbulb",41,IF(J45="stories",42,IF(J45="course material",43,IF(J45="autobiographical",44,IF(J45="novels",45,IF(J45="public events",46,"99"))))))))))))))))))))))))))))))))))))))))))))))</f>
        <v>7</v>
      </c>
      <c r="L45" s="32">
        <f>IF(J45="syllables",1,IF(J45="trigrams",1,IF(J45="strings",1,IF(J45="visual array",1,IF(J45="characters",1,IF(J45="letters",1,IF(J45="free forms",1,IF(J45="odors",2,IF(J45="words",2,IF(J45="pictures",2,IF(J45="object pictures",2,IF(J45="faces",2,IF(J45="names",2,IF(J45="idioms","2",IF(J45="grades",2,IF(J45="syllable-digit pairs",3,IF(J45="trigram-word pairs",3,IF(J45="word-digit pairs",3,IF(J45="English-Swahili pairs",3,IF(J45="spatial position",3,IF(J45="word pairs",4,IF(J45="word triads",4,IF(J45="generated words",4,IF(J45="word definition pairs",4,IF(J45="math problems",4,IF(J45="famous faces",4,IF(J45="famous names",4,IF(J45="famous voices",4,IF(J45="television programs",4,IF(J45="race horses",4,IF(J45="new vocabulary",4,IF(J45="sentences",5,IF(J45="concepts",5,IF(J45="ad slides",5,IF(J45="scenes",5,IF(J45="famous scenes",5,IF(J45="poems",6,IF(J45="walk",6,IF(J45="faces and events",6,IF(J45="events and names",6,IF(J45="flashbulb",7,IF(J45="stories",7,IF(J45="course material",7,IF(J45="autobiographical",7,IF(J45="novels",7,IF(J45="public events",7,"99"))))))))))))))))))))))))))))))))))))))))))))))</f>
        <v>1</v>
      </c>
      <c r="M45" s="32">
        <v>1</v>
      </c>
      <c r="N45" s="32">
        <v>2</v>
      </c>
      <c r="O45" s="32">
        <v>0</v>
      </c>
      <c r="P45" s="32"/>
      <c r="Q45" s="32" t="s">
        <v>18</v>
      </c>
      <c r="R45" s="32">
        <f>IF(Q45="Free Recall",1,IF(Q45="Cued Recall",2,IF(Q45="Recognition",3,IF(Q45="Multiple Choice",4,IF(Q45="Savings",5,IF(Q45="Stem Completion",6,IF(Q45="Fragment Completion",7,IF(Q45="anagram solution",8,IF(Q45="Matching",9,IF(Q45="Problem Solving",10,"99"))))))))))</f>
        <v>3</v>
      </c>
      <c r="S45" s="77" t="s">
        <v>196</v>
      </c>
      <c r="T45" s="32" t="s">
        <v>72</v>
      </c>
      <c r="U45" s="32">
        <f>IF(T45="within",1,0)</f>
        <v>0</v>
      </c>
      <c r="V45" s="32">
        <v>40</v>
      </c>
      <c r="W45" s="32">
        <f>F45*V45</f>
        <v>3800</v>
      </c>
      <c r="X45" s="32">
        <v>4</v>
      </c>
      <c r="Y45" s="41">
        <f>AV44</f>
        <v>40</v>
      </c>
      <c r="Z45" s="32" t="s">
        <v>53</v>
      </c>
      <c r="AA45" s="32">
        <v>3628800</v>
      </c>
      <c r="AB45" s="32" t="str">
        <f>IF(AA45&lt;60,"1",IF(AA45&lt;=43200,"2",IF(AA45&lt;=777600,"3","4")))</f>
        <v>4</v>
      </c>
      <c r="AC45" s="28">
        <f>AVERAGE(AV44:DA44)</f>
        <v>1080010</v>
      </c>
      <c r="AD45" s="32" t="str">
        <f>IF(AC45&lt;60,"1",IF(AC45&lt;=43200,"2",IF(AC45&lt;=777600,"3","4")))</f>
        <v>4</v>
      </c>
      <c r="AE45" s="41">
        <f>AA45-Y45</f>
        <v>3628760</v>
      </c>
      <c r="AF45" s="45">
        <f>AV45</f>
        <v>1.3104067414390375</v>
      </c>
      <c r="AG45" s="28">
        <f>((AW45-AV45)+(AX45-AW45)+(AY45-AX45))/3</f>
        <v>-0.24194432179366834</v>
      </c>
      <c r="AH45" s="4"/>
      <c r="AI45" s="28">
        <f>RSQ(AV45:AY45,AV44:AY44)</f>
        <v>0.95306447815717266</v>
      </c>
      <c r="AJ45" s="51">
        <f>SLOPE(AV45:AY45,AV44:AY44)</f>
        <v>-1.8675118267387848E-7</v>
      </c>
      <c r="AK45" s="28">
        <f>INTERCEPT(AV45:AY45,AV44:AY44)</f>
        <v>1.2708902108052862</v>
      </c>
      <c r="AL45" s="28">
        <f>INDEX(LINEST(LN(AV45:AY45),LN(AV44:AY44),TRUE,TRUE),3,1)</f>
        <v>0.41677189928457387</v>
      </c>
      <c r="AM45" s="28">
        <f>INDEX(LINEST(LN(AV45:AY45),LN(AV44:AY44)),1)</f>
        <v>-4.8192523586078895E-2</v>
      </c>
      <c r="AN45" s="28">
        <f>EXP(INDEX(LINEST(LN(AV45:AY45),LN(AV44:AY44)),1,2))</f>
        <v>1.7234008942745653</v>
      </c>
      <c r="AO45" s="47">
        <f>INDEX(LINEST((AV45:AY45),LN(AV44:AY44),TRUE,TRUE),3,1)</f>
        <v>0.45992475396197069</v>
      </c>
      <c r="AP45" s="47">
        <f>INDEX(LINEST((AV45:AY45),LN(AV44:AY44)),1)</f>
        <v>-4.441868564697083E-2</v>
      </c>
      <c r="AQ45" s="48">
        <f>INDEX(LINEST(LN(AV45:AY45),SQRT(AV44:AY44),TRUE,TRUE),3,1)</f>
        <v>0.88017662671477215</v>
      </c>
      <c r="AR45" s="56">
        <f>INDEX(LINEST(LN(AV45:AY45),SQRT((AV44:AY44))),1)</f>
        <v>-4.2095999907145669E-4</v>
      </c>
      <c r="AS45" s="49">
        <f>INDEX(LINEST(1/(AV45:AY45),1/(SQRT(AV44:AY44)),TRUE,TRUE),3,1)</f>
        <v>0.17448100483286694</v>
      </c>
      <c r="AT45" s="49">
        <f>INDEX(LINEST(1/(AV45:AY45),1/SQRT(AV44:AY44)),1)</f>
        <v>-2.4032161006600474</v>
      </c>
      <c r="AU45" s="3"/>
      <c r="AV45" s="25">
        <v>1.3104067414390375</v>
      </c>
      <c r="AW45" s="25">
        <v>1.1582831230007855</v>
      </c>
      <c r="AX45" s="25">
        <v>1.2235246235248269</v>
      </c>
      <c r="AY45" s="25">
        <v>0.5845737760580324</v>
      </c>
      <c r="AZ45" s="25"/>
      <c r="BA45" s="25"/>
      <c r="BB45" s="25"/>
      <c r="BC45" s="25"/>
      <c r="BD45" s="25"/>
      <c r="BE45" s="25"/>
      <c r="BF45" s="25"/>
      <c r="BG45" s="25"/>
      <c r="BH45" s="25"/>
      <c r="BI45" s="25"/>
      <c r="BJ45" s="25"/>
      <c r="BK45" s="25"/>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1"/>
      <c r="CS45" s="1"/>
      <c r="CT45" s="1"/>
      <c r="CU45" s="1"/>
    </row>
    <row r="46" spans="1:99" s="9" customFormat="1" ht="12" customHeight="1" x14ac:dyDescent="0.2">
      <c r="A46" s="37">
        <v>43509</v>
      </c>
      <c r="B46" s="1"/>
      <c r="C46" s="1"/>
      <c r="D46" s="32"/>
      <c r="E46" s="41"/>
      <c r="F46" s="32"/>
      <c r="G46" s="32"/>
      <c r="H46" s="32"/>
      <c r="I46" s="32"/>
      <c r="J46" s="32"/>
      <c r="K46" s="36"/>
      <c r="L46" s="36"/>
      <c r="M46" s="32"/>
      <c r="N46" s="32"/>
      <c r="O46" s="32"/>
      <c r="P46" s="32"/>
      <c r="Q46" s="32"/>
      <c r="R46" s="32"/>
      <c r="S46" s="32"/>
      <c r="T46" s="32"/>
      <c r="U46" s="32"/>
      <c r="V46" s="32"/>
      <c r="W46" s="32"/>
      <c r="X46" s="32"/>
      <c r="Y46" s="41"/>
      <c r="Z46" s="32"/>
      <c r="AA46" s="32"/>
      <c r="AB46" s="32"/>
      <c r="AC46" s="32"/>
      <c r="AD46" s="32"/>
      <c r="AE46" s="32"/>
      <c r="AF46" s="45"/>
      <c r="AG46" s="28"/>
      <c r="AH46" s="4"/>
      <c r="AI46" s="28"/>
      <c r="AJ46" s="51"/>
      <c r="AK46" s="28"/>
      <c r="AL46" s="28"/>
      <c r="AM46" s="28"/>
      <c r="AN46" s="28"/>
      <c r="AO46" s="28"/>
      <c r="AP46" s="28"/>
      <c r="AQ46" s="28"/>
      <c r="AR46" s="51"/>
      <c r="AS46" s="28"/>
      <c r="AT46" s="28"/>
      <c r="AU46" s="4"/>
      <c r="AV46" s="18">
        <v>40</v>
      </c>
      <c r="AW46" s="18">
        <f>24*3600</f>
        <v>86400</v>
      </c>
      <c r="AX46" s="18">
        <f>7*24*3600*1</f>
        <v>604800</v>
      </c>
      <c r="AY46" s="18">
        <f>7*24*3600*6</f>
        <v>3628800</v>
      </c>
      <c r="AZ46" s="25"/>
      <c r="BA46" s="25"/>
      <c r="BB46" s="25"/>
      <c r="BC46" s="25"/>
      <c r="BD46" s="25"/>
      <c r="BE46" s="25"/>
      <c r="BF46" s="25"/>
      <c r="BG46" s="25"/>
      <c r="BH46" s="25"/>
      <c r="BI46" s="25"/>
      <c r="BJ46" s="25"/>
      <c r="BK46" s="25"/>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1"/>
      <c r="CS46" s="1"/>
      <c r="CT46" s="1"/>
      <c r="CU46" s="1"/>
    </row>
    <row r="47" spans="1:99" s="9" customFormat="1" ht="12" customHeight="1" x14ac:dyDescent="0.2">
      <c r="A47" s="37">
        <v>43509</v>
      </c>
      <c r="B47" s="1" t="s">
        <v>51</v>
      </c>
      <c r="C47" s="1" t="s">
        <v>52</v>
      </c>
      <c r="D47" s="32">
        <v>2016</v>
      </c>
      <c r="E47" s="41">
        <v>1</v>
      </c>
      <c r="F47" s="32">
        <v>95</v>
      </c>
      <c r="G47" s="32">
        <v>23.8</v>
      </c>
      <c r="H47" s="32" t="s">
        <v>143</v>
      </c>
      <c r="I47" s="32" t="s">
        <v>142</v>
      </c>
      <c r="J47" s="32" t="s">
        <v>83</v>
      </c>
      <c r="K47" s="32">
        <f>IF(J47="syllables",1,IF(J47="trigrams",2,IF(J47="strings",3,IF(J47="visual array",4,IF(J47="characters",5,IF(J47="letters",6,IF(J47="free forms",7,IF(J47="odors",8,IF(J47="words",9,IF(J47="pictures",10,IF(J47="object pictures",11,IF(J47="faces",12,IF(J47="names",13,IF(J47="idioms",14,IF(J47="grades",15,IF(J47="syllable-digit pairs",16,IF(J47="trigram-word pairs",17,IF(J47="word-digit pairs",18,IF(J47="English-Swahili pairs",19,IF(J47="spatial position",20,IF(J47="word pairs",21,IF(J47="word triads",22,IF(J47="generated words",23,IF(J47="word definition pairs",24,IF(J47="math problems",25,IF(J47="famous faces",26,IF(J47="famous names",27,IF(J47="famous voices",28,IF(J47="television programs",29,IF(J47="race horses",30,IF(J47="new vocabulary",31,IF(J47="sentences",32,IF(J47="concepts",33,IF(J47="ad slides",34,IF(J47="scenes",35,IF(J47="famous scenes",36,IF(J47="poems",37,IF(J47="walk",38,IF(J47="faces and events",39,IF(J47="events and names",40,IF(J47="flashbulb",41,IF(J47="stories",42,IF(J47="course material",43,IF(J47="autobiographical",44,IF(J47="novels",45,IF(J47="public events",46,"99"))))))))))))))))))))))))))))))))))))))))))))))</f>
        <v>7</v>
      </c>
      <c r="L47" s="32">
        <f>IF(J47="syllables",1,IF(J47="trigrams",1,IF(J47="strings",1,IF(J47="visual array",1,IF(J47="characters",1,IF(J47="letters",1,IF(J47="free forms",1,IF(J47="odors",2,IF(J47="words",2,IF(J47="pictures",2,IF(J47="object pictures",2,IF(J47="faces",2,IF(J47="names",2,IF(J47="idioms","2",IF(J47="grades",2,IF(J47="syllable-digit pairs",3,IF(J47="trigram-word pairs",3,IF(J47="word-digit pairs",3,IF(J47="English-Swahili pairs",3,IF(J47="spatial position",3,IF(J47="word pairs",4,IF(J47="word triads",4,IF(J47="generated words",4,IF(J47="word definition pairs",4,IF(J47="math problems",4,IF(J47="famous faces",4,IF(J47="famous names",4,IF(J47="famous voices",4,IF(J47="television programs",4,IF(J47="race horses",4,IF(J47="new vocabulary",4,IF(J47="sentences",5,IF(J47="concepts",5,IF(J47="ad slides",5,IF(J47="scenes",5,IF(J47="famous scenes",5,IF(J47="poems",6,IF(J47="walk",6,IF(J47="faces and events",6,IF(J47="events and names",6,IF(J47="flashbulb",7,IF(J47="stories",7,IF(J47="course material",7,IF(J47="autobiographical",7,IF(J47="novels",7,IF(J47="public events",7,"99"))))))))))))))))))))))))))))))))))))))))))))))</f>
        <v>1</v>
      </c>
      <c r="M47" s="32">
        <v>0</v>
      </c>
      <c r="N47" s="32">
        <v>1</v>
      </c>
      <c r="O47" s="32">
        <v>0</v>
      </c>
      <c r="P47" s="32"/>
      <c r="Q47" s="32" t="s">
        <v>18</v>
      </c>
      <c r="R47" s="32">
        <f>IF(Q47="Free Recall",1,IF(Q47="Cued Recall",2,IF(Q47="Recognition",3,IF(Q47="Multiple Choice",4,IF(Q47="Savings",5,IF(Q47="Stem Completion",6,IF(Q47="Fragment Completion",7,IF(Q47="anagram solution",8,IF(Q47="Matching",9,IF(Q47="Problem Solving",10,"99"))))))))))</f>
        <v>3</v>
      </c>
      <c r="S47" s="77" t="s">
        <v>196</v>
      </c>
      <c r="T47" s="32" t="s">
        <v>72</v>
      </c>
      <c r="U47" s="32">
        <f>IF(T47="within",1,0)</f>
        <v>0</v>
      </c>
      <c r="V47" s="32">
        <v>40</v>
      </c>
      <c r="W47" s="32">
        <f>F47*V47</f>
        <v>3800</v>
      </c>
      <c r="X47" s="32">
        <v>4</v>
      </c>
      <c r="Y47" s="41">
        <f>AV46</f>
        <v>40</v>
      </c>
      <c r="Z47" s="32" t="s">
        <v>53</v>
      </c>
      <c r="AA47" s="32">
        <v>3628800</v>
      </c>
      <c r="AB47" s="32" t="str">
        <f>IF(AA47&lt;60,"1",IF(AA47&lt;=43200,"2",IF(AA47&lt;=777600,"3","4")))</f>
        <v>4</v>
      </c>
      <c r="AC47" s="28">
        <f>AVERAGE(AV46:DA46)</f>
        <v>1080010</v>
      </c>
      <c r="AD47" s="32" t="str">
        <f>IF(AC47&lt;60,"1",IF(AC47&lt;=43200,"2",IF(AC47&lt;=777600,"3","4")))</f>
        <v>4</v>
      </c>
      <c r="AE47" s="41">
        <f>AA47-Y47</f>
        <v>3628760</v>
      </c>
      <c r="AF47" s="45">
        <f>AV47</f>
        <v>0.58367181086701547</v>
      </c>
      <c r="AG47" s="28">
        <f>((AW47-AV47)+(AX47-AW47)+(AY47-AX47))/3</f>
        <v>-0.18403311030041805</v>
      </c>
      <c r="AH47" s="4"/>
      <c r="AI47" s="28">
        <f>RSQ(AV47:AY47,AV46:AY46)</f>
        <v>0.97645908503657486</v>
      </c>
      <c r="AJ47" s="51">
        <f>SLOPE(AV47:AY47,AV46:AY46)</f>
        <v>-1.4102281082407653E-7</v>
      </c>
      <c r="AK47" s="28">
        <f>INTERCEPT(AV47:AY47,AV46:AY46)</f>
        <v>0.53601257612062958</v>
      </c>
      <c r="AL47" s="28">
        <f>INDEX(LINEST(LN(AV47:AY47),LN(AV46:AY46),TRUE,TRUE),3,1)</f>
        <v>0.40580334274333918</v>
      </c>
      <c r="AM47" s="28">
        <f>INDEX(LINEST(LN(AV47:AY47),LN(AV46:AY46)),1)</f>
        <v>-0.17559401246769624</v>
      </c>
      <c r="AN47" s="28">
        <f>EXP(INDEX(LINEST(LN(AV47:AY47),LN(AV46:AY46)),1,2))</f>
        <v>1.679210133214903</v>
      </c>
      <c r="AO47" s="47">
        <f>INDEX(LINEST((AV47:AY47),LN(AV46:AY46),TRUE,TRUE),3,1)</f>
        <v>0.5739393303978868</v>
      </c>
      <c r="AP47" s="47">
        <f>INDEX(LINEST((AV47:AY47),LN(AV46:AY46)),1)</f>
        <v>-3.7018211020092284E-2</v>
      </c>
      <c r="AQ47" s="48">
        <f>INDEX(LINEST(LN(AV47:AY47),SQRT(AV46:AY46),TRUE,TRUE),3,1)</f>
        <v>0.92129585407996051</v>
      </c>
      <c r="AR47" s="56">
        <f>INDEX(LINEST(LN(AV47:AY47),SQRT((AV46:AY46))),1)</f>
        <v>-1.5902921354478438E-3</v>
      </c>
      <c r="AS47" s="49">
        <f>INDEX(LINEST(1/(AV47:AY47),1/(SQRT(AV46:AY46)),TRUE,TRUE),3,1)</f>
        <v>0.1283831282883186</v>
      </c>
      <c r="AT47" s="49">
        <f>INDEX(LINEST(1/(AV47:AY47),1/SQRT(AV46:AY46)),1)</f>
        <v>-67.906791264122717</v>
      </c>
      <c r="AU47" s="3"/>
      <c r="AV47" s="25">
        <v>0.58367181086701547</v>
      </c>
      <c r="AW47" s="25">
        <v>0.51082649346280551</v>
      </c>
      <c r="AX47" s="25">
        <v>0.40875533651449225</v>
      </c>
      <c r="AY47" s="25">
        <v>3.1572479965761291E-2</v>
      </c>
      <c r="AZ47" s="25"/>
      <c r="BA47" s="25"/>
      <c r="BB47" s="25"/>
      <c r="BC47" s="25"/>
      <c r="BD47" s="25"/>
      <c r="BE47" s="25"/>
      <c r="BF47" s="25"/>
      <c r="BG47" s="25"/>
      <c r="BH47" s="25"/>
      <c r="BI47" s="25"/>
      <c r="BJ47" s="25"/>
      <c r="BK47" s="25"/>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1"/>
      <c r="CS47" s="1"/>
      <c r="CT47" s="1"/>
      <c r="CU47" s="1"/>
    </row>
    <row r="48" spans="1:99" s="15" customFormat="1" ht="12" customHeight="1" x14ac:dyDescent="0.2">
      <c r="A48" s="37">
        <v>43509</v>
      </c>
      <c r="B48" s="13"/>
      <c r="C48" s="13"/>
      <c r="D48" s="34"/>
      <c r="E48" s="43"/>
      <c r="F48" s="34"/>
      <c r="G48" s="34"/>
      <c r="H48" s="34"/>
      <c r="I48" s="34"/>
      <c r="J48" s="34"/>
      <c r="K48" s="36"/>
      <c r="L48" s="36"/>
      <c r="M48" s="34"/>
      <c r="N48" s="34"/>
      <c r="O48" s="34"/>
      <c r="P48" s="34"/>
      <c r="Q48" s="34"/>
      <c r="R48" s="32"/>
      <c r="S48" s="34"/>
      <c r="T48" s="34"/>
      <c r="U48" s="32"/>
      <c r="V48" s="34"/>
      <c r="W48" s="32"/>
      <c r="X48" s="34"/>
      <c r="Y48" s="41"/>
      <c r="Z48" s="34"/>
      <c r="AA48" s="34"/>
      <c r="AB48" s="32"/>
      <c r="AC48" s="32"/>
      <c r="AD48" s="32"/>
      <c r="AE48" s="32"/>
      <c r="AF48" s="45"/>
      <c r="AG48" s="28"/>
      <c r="AH48" s="4"/>
      <c r="AI48" s="50"/>
      <c r="AJ48" s="53"/>
      <c r="AK48" s="50"/>
      <c r="AL48" s="50"/>
      <c r="AM48" s="50"/>
      <c r="AN48" s="50"/>
      <c r="AO48" s="50"/>
      <c r="AP48" s="50"/>
      <c r="AQ48" s="28"/>
      <c r="AR48" s="51"/>
      <c r="AS48" s="28"/>
      <c r="AT48" s="28"/>
      <c r="AU48" s="4"/>
      <c r="AV48" s="18">
        <f>60</f>
        <v>60</v>
      </c>
      <c r="AW48" s="18">
        <f>3600</f>
        <v>3600</v>
      </c>
      <c r="AX48" s="18">
        <f>24*3600</f>
        <v>86400</v>
      </c>
      <c r="AY48" s="18">
        <f>7*24*3600</f>
        <v>604800</v>
      </c>
      <c r="AZ48" s="18">
        <f>14*24*3600</f>
        <v>1209600</v>
      </c>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c r="CO48" s="14"/>
      <c r="CP48" s="14"/>
      <c r="CQ48" s="14"/>
      <c r="CR48" s="13"/>
      <c r="CS48" s="13"/>
      <c r="CT48" s="13"/>
      <c r="CU48" s="13"/>
    </row>
    <row r="49" spans="1:99" s="15" customFormat="1" ht="12" customHeight="1" x14ac:dyDescent="0.2">
      <c r="A49" s="37">
        <v>43509</v>
      </c>
      <c r="B49" s="13" t="s">
        <v>54</v>
      </c>
      <c r="C49" s="13" t="s">
        <v>34</v>
      </c>
      <c r="D49" s="34">
        <v>2017</v>
      </c>
      <c r="E49" s="43">
        <v>1</v>
      </c>
      <c r="F49" s="34">
        <v>200</v>
      </c>
      <c r="G49" s="34">
        <v>40</v>
      </c>
      <c r="H49" s="34" t="s">
        <v>13</v>
      </c>
      <c r="I49" s="34"/>
      <c r="J49" s="34" t="s">
        <v>109</v>
      </c>
      <c r="K49" s="32">
        <f>IF(J49="syllables",1,IF(J49="trigrams",2,IF(J49="strings",3,IF(J49="visual array",4,IF(J49="characters",5,IF(J49="letters",6,IF(J49="free forms",7,IF(J49="odors",8,IF(J49="words",9,IF(J49="pictures",10,IF(J49="object pictures",11,IF(J49="faces",12,IF(J49="names",13,IF(J49="idioms",14,IF(J49="grades",15,IF(J49="syllable-digit pairs",16,IF(J49="trigram-word pairs",17,IF(J49="word-digit pairs",18,IF(J49="English-Swahili pairs",19,IF(J49="spatial position",20,IF(J49="word pairs",21,IF(J49="word triads",22,IF(J49="generated words",23,IF(J49="word definition pairs",24,IF(J49="math problems",25,IF(J49="famous faces",26,IF(J49="famous names",27,IF(J49="famous voices",28,IF(J49="television programs",29,IF(J49="race horses",30,IF(J49="new vocabulary",31,IF(J49="sentences",32,IF(J49="concepts",33,IF(J49="ad slides",34,IF(J49="scenes",35,IF(J49="famous scenes",36,IF(J49="poems",37,IF(J49="walk",38,IF(J49="faces and events",39,IF(J49="events and names",40,IF(J49="flashbulb",41,IF(J49="stories",42,IF(J49="course material",43,IF(J49="autobiographical",44,IF(J49="novels",45,IF(J49="public events",46,"99"))))))))))))))))))))))))))))))))))))))))))))))</f>
        <v>32</v>
      </c>
      <c r="L49" s="32">
        <f>IF(J49="syllables",1,IF(J49="trigrams",1,IF(J49="strings",1,IF(J49="visual array",1,IF(J49="characters",1,IF(J49="letters",1,IF(J49="free forms",1,IF(J49="odors",2,IF(J49="words",2,IF(J49="pictures",2,IF(J49="object pictures",2,IF(J49="faces",2,IF(J49="names",2,IF(J49="idioms","2",IF(J49="grades",2,IF(J49="syllable-digit pairs",3,IF(J49="trigram-word pairs",3,IF(J49="word-digit pairs",3,IF(J49="English-Swahili pairs",3,IF(J49="spatial position",3,IF(J49="word pairs",4,IF(J49="word triads",4,IF(J49="generated words",4,IF(J49="word definition pairs",4,IF(J49="math problems",4,IF(J49="famous faces",4,IF(J49="famous names",4,IF(J49="famous voices",4,IF(J49="television programs",4,IF(J49="race horses",4,IF(J49="new vocabulary",4,IF(J49="sentences",5,IF(J49="concepts",5,IF(J49="ad slides",5,IF(J49="scenes",5,IF(J49="famous scenes",5,IF(J49="poems",6,IF(J49="walk",6,IF(J49="faces and events",6,IF(J49="events and names",6,IF(J49="flashbulb",7,IF(J49="stories",7,IF(J49="course material",7,IF(J49="autobiographical",7,IF(J49="novels",7,IF(J49="public events",7,"99"))))))))))))))))))))))))))))))))))))))))))))))</f>
        <v>5</v>
      </c>
      <c r="M49" s="34">
        <v>1</v>
      </c>
      <c r="N49" s="34">
        <v>4</v>
      </c>
      <c r="O49" s="34">
        <v>0</v>
      </c>
      <c r="P49" s="34"/>
      <c r="Q49" s="34" t="s">
        <v>18</v>
      </c>
      <c r="R49" s="32">
        <f>IF(Q49="Free Recall",1,IF(Q49="Cued Recall",2,IF(Q49="Recognition",3,IF(Q49="Multiple Choice",4,IF(Q49="Savings",5,IF(Q49="Stem Completion",6,IF(Q49="Fragment Completion",7,IF(Q49="anagram solution",8,IF(Q49="Matching",9,IF(Q49="Problem Solving",10,"99"))))))))))</f>
        <v>3</v>
      </c>
      <c r="S49" s="31" t="s">
        <v>196</v>
      </c>
      <c r="T49" s="34" t="s">
        <v>72</v>
      </c>
      <c r="U49" s="32">
        <f>IF(T49="within",1,0)</f>
        <v>0</v>
      </c>
      <c r="V49" s="34">
        <v>18</v>
      </c>
      <c r="W49" s="32">
        <f>F49*V49</f>
        <v>3600</v>
      </c>
      <c r="X49" s="34">
        <v>5</v>
      </c>
      <c r="Y49" s="41">
        <f>AV48</f>
        <v>60</v>
      </c>
      <c r="Z49" s="34" t="s">
        <v>55</v>
      </c>
      <c r="AA49" s="34">
        <v>1209600</v>
      </c>
      <c r="AB49" s="32" t="str">
        <f>IF(AA49&lt;60,"1",IF(AA49&lt;=43200,"2",IF(AA49&lt;=777600,"3","4")))</f>
        <v>4</v>
      </c>
      <c r="AC49" s="28">
        <f>AVERAGE(AV48:DA48)</f>
        <v>380892</v>
      </c>
      <c r="AD49" s="32" t="str">
        <f>IF(AC49&lt;60,"1",IF(AC49&lt;=43200,"2",IF(AC49&lt;=777600,"3","4")))</f>
        <v>3</v>
      </c>
      <c r="AE49" s="41">
        <f>AA49-Y49</f>
        <v>1209540</v>
      </c>
      <c r="AF49" s="45">
        <f>AV49</f>
        <v>3.5885143212326254</v>
      </c>
      <c r="AG49" s="28">
        <f>((AW49-AV49)+(AX49-AW49)+(AY49-AX49)+(AZ49-AY49))/4</f>
        <v>-0.26076646968173955</v>
      </c>
      <c r="AH49" s="4"/>
      <c r="AI49" s="28">
        <f>RSQ(AV49:AZ49,AV48:AZ48)</f>
        <v>0.81972136208368218</v>
      </c>
      <c r="AJ49" s="51">
        <f>SLOPE(AV49:AZ49,AV48:AZ48)</f>
        <v>-7.4161877399048183E-7</v>
      </c>
      <c r="AK49" s="28">
        <f>INTERCEPT(AV49:AZ49,AV48:AZ48)</f>
        <v>3.5942099600997408</v>
      </c>
      <c r="AL49" s="28">
        <f>INDEX(LINEST(LN(AV49:AZ49),LN(AV48:AZ48),TRUE,TRUE),3,1)</f>
        <v>0.34759165358119848</v>
      </c>
      <c r="AM49" s="28">
        <f>INDEX(LINEST(LN(AV49:AZ49),LN(AV48:AZ48)),1)</f>
        <v>-2.0707266774658013E-2</v>
      </c>
      <c r="AN49" s="28">
        <f>EXP(INDEX(LINEST(LN(AV49:AZ49),LN(AV48:AZ48)),1,2))</f>
        <v>4.0585130178898581</v>
      </c>
      <c r="AO49" s="47">
        <f>INDEX(LINEST((AV49:AZ49),LN(AV48:AZ48),TRUE,TRUE),3,1)</f>
        <v>0.36098327578025313</v>
      </c>
      <c r="AP49" s="47">
        <f>INDEX(LINEST((AV49:AZ49),LN(AV48:AZ48)),1)</f>
        <v>-6.3441097981759731E-2</v>
      </c>
      <c r="AQ49" s="48">
        <f>INDEX(LINEST(LN(AV49:AZ49),SQRT(AV48:AZ48),TRUE,TRUE),3,1)</f>
        <v>0.64704969483635888</v>
      </c>
      <c r="AR49" s="56">
        <f>INDEX(LINEST(LN(AV49:AZ49),SQRT((AV48:AZ48))),1)</f>
        <v>-2.4328309639663916E-4</v>
      </c>
      <c r="AS49" s="49">
        <f>INDEX(LINEST(1/(AV49:AZ49),1/(SQRT(AV48:AZ48)),TRUE,TRUE),3,1)</f>
        <v>0.13758238510495699</v>
      </c>
      <c r="AT49" s="49">
        <f>INDEX(LINEST(1/(AV49:AZ49),1/SQRT(AV48:AZ48)),1)</f>
        <v>-0.32141669767135611</v>
      </c>
      <c r="AU49" s="3"/>
      <c r="AV49" s="25">
        <v>3.5885143212326254</v>
      </c>
      <c r="AW49" s="25">
        <v>3.4631289580301861</v>
      </c>
      <c r="AX49" s="25">
        <v>3.5086650452825143</v>
      </c>
      <c r="AY49" s="25">
        <v>3.4529097431338025</v>
      </c>
      <c r="AZ49" s="25">
        <v>2.5454484425056672</v>
      </c>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3"/>
      <c r="CS49" s="13"/>
      <c r="CT49" s="13"/>
      <c r="CU49" s="13"/>
    </row>
    <row r="50" spans="1:99" s="9" customFormat="1" ht="12" customHeight="1" x14ac:dyDescent="0.2">
      <c r="A50" s="37">
        <v>43509</v>
      </c>
      <c r="B50" s="1"/>
      <c r="C50" s="1"/>
      <c r="D50" s="32"/>
      <c r="E50" s="41"/>
      <c r="F50" s="32"/>
      <c r="G50" s="32"/>
      <c r="H50" s="32"/>
      <c r="I50" s="32"/>
      <c r="J50" s="32"/>
      <c r="K50" s="36"/>
      <c r="L50" s="36"/>
      <c r="M50" s="32"/>
      <c r="N50" s="32"/>
      <c r="O50" s="32"/>
      <c r="P50" s="32"/>
      <c r="Q50" s="32"/>
      <c r="R50" s="32"/>
      <c r="S50" s="32"/>
      <c r="T50" s="32"/>
      <c r="U50" s="32"/>
      <c r="V50" s="32"/>
      <c r="W50" s="32"/>
      <c r="X50" s="32"/>
      <c r="Y50" s="41"/>
      <c r="Z50" s="32"/>
      <c r="AA50" s="32"/>
      <c r="AB50" s="32"/>
      <c r="AC50" s="32"/>
      <c r="AD50" s="32"/>
      <c r="AE50" s="32"/>
      <c r="AF50" s="45"/>
      <c r="AG50" s="28"/>
      <c r="AH50" s="4"/>
      <c r="AI50" s="28"/>
      <c r="AJ50" s="51"/>
      <c r="AK50" s="28"/>
      <c r="AL50" s="28"/>
      <c r="AM50" s="28"/>
      <c r="AN50" s="28"/>
      <c r="AO50" s="28"/>
      <c r="AP50" s="28"/>
      <c r="AQ50" s="28"/>
      <c r="AR50" s="51"/>
      <c r="AS50" s="28"/>
      <c r="AT50" s="28"/>
      <c r="AU50" s="4"/>
      <c r="AV50" s="26">
        <v>1.5</v>
      </c>
      <c r="AW50" s="18">
        <v>3</v>
      </c>
      <c r="AX50" s="18">
        <v>6</v>
      </c>
      <c r="AY50" s="25"/>
      <c r="AZ50" s="25"/>
      <c r="BA50" s="25"/>
      <c r="BB50" s="25"/>
      <c r="BC50" s="25"/>
      <c r="BD50" s="25"/>
      <c r="BE50" s="25"/>
      <c r="BF50" s="25"/>
      <c r="BG50" s="25"/>
      <c r="BH50" s="25"/>
      <c r="BI50" s="25"/>
      <c r="BJ50" s="25"/>
      <c r="BK50" s="25"/>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1"/>
      <c r="CS50" s="1"/>
      <c r="CT50" s="1"/>
      <c r="CU50" s="1"/>
    </row>
    <row r="51" spans="1:99" s="9" customFormat="1" ht="12" customHeight="1" x14ac:dyDescent="0.2">
      <c r="A51" s="37">
        <v>43509</v>
      </c>
      <c r="B51" s="1" t="s">
        <v>70</v>
      </c>
      <c r="C51" s="1" t="s">
        <v>17</v>
      </c>
      <c r="D51" s="32">
        <v>2010</v>
      </c>
      <c r="E51" s="41">
        <v>1</v>
      </c>
      <c r="F51" s="32">
        <v>30</v>
      </c>
      <c r="G51" s="32">
        <v>30</v>
      </c>
      <c r="H51" s="32" t="s">
        <v>14</v>
      </c>
      <c r="I51" s="32" t="s">
        <v>144</v>
      </c>
      <c r="J51" s="32" t="s">
        <v>147</v>
      </c>
      <c r="K51" s="32">
        <f>IF(J51="syllables",1,IF(J51="trigrams",2,IF(J51="strings",3,IF(J51="visual array",4,IF(J51="characters",5,IF(J51="letters",6,IF(J51="free forms",7,IF(J51="odors",8,IF(J51="words",9,IF(J51="pictures",10,IF(J51="object pictures",11,IF(J51="faces",12,IF(J51="names",13,IF(J51="idioms",14,IF(J51="grades",15,IF(J51="syllable-digit pairs",16,IF(J51="trigram-word pairs",17,IF(J51="word-digit pairs",18,IF(J51="English-Swahili pairs",19,IF(J51="spatial position",20,IF(J51="word pairs",21,IF(J51="word triads",22,IF(J51="generated words",23,IF(J51="word definition pairs",24,IF(J51="math problems",25,IF(J51="famous faces",26,IF(J51="famous names",27,IF(J51="famous voices",28,IF(J51="television programs",29,IF(J51="race horses",30,IF(J51="new vocabulary",31,IF(J51="sentences",32,IF(J51="concepts",33,IF(J51="ad slides",34,IF(J51="scenes",35,IF(J51="famous scenes",36,IF(J51="poems",37,IF(J51="walk",38,IF(J51="faces and events",39,IF(J51="events and names",40,IF(J51="flashbulb",41,IF(J51="stories",42,IF(J51="course material",43,IF(J51="autobiographical",44,IF(J51="novels",45,IF(J51="public events",46,"99"))))))))))))))))))))))))))))))))))))))))))))))</f>
        <v>4</v>
      </c>
      <c r="L51" s="32">
        <f>IF(J51="syllables",1,IF(J51="trigrams",1,IF(J51="strings",1,IF(J51="visual array",1,IF(J51="characters",1,IF(J51="letters",1,IF(J51="free forms",1,IF(J51="odors",2,IF(J51="words",2,IF(J51="pictures",2,IF(J51="object pictures",2,IF(J51="faces",2,IF(J51="names",2,IF(J51="idioms","2",IF(J51="grades",2,IF(J51="syllable-digit pairs",3,IF(J51="trigram-word pairs",3,IF(J51="word-digit pairs",3,IF(J51="English-Swahili pairs",3,IF(J51="spatial position",3,IF(J51="word pairs",4,IF(J51="word triads",4,IF(J51="generated words",4,IF(J51="word definition pairs",4,IF(J51="math problems",4,IF(J51="famous faces",4,IF(J51="famous names",4,IF(J51="famous voices",4,IF(J51="television programs",4,IF(J51="race horses",4,IF(J51="new vocabulary",4,IF(J51="sentences",5,IF(J51="concepts",5,IF(J51="ad slides",5,IF(J51="scenes",5,IF(J51="famous scenes",5,IF(J51="poems",6,IF(J51="walk",6,IF(J51="faces and events",6,IF(J51="events and names",6,IF(J51="flashbulb",7,IF(J51="stories",7,IF(J51="course material",7,IF(J51="autobiographical",7,IF(J51="novels",7,IF(J51="public events",7,"99"))))))))))))))))))))))))))))))))))))))))))))))</f>
        <v>1</v>
      </c>
      <c r="M51" s="32">
        <v>0</v>
      </c>
      <c r="N51" s="32">
        <v>1</v>
      </c>
      <c r="O51" s="32">
        <v>1</v>
      </c>
      <c r="P51" s="32" t="s">
        <v>19</v>
      </c>
      <c r="Q51" s="32" t="s">
        <v>18</v>
      </c>
      <c r="R51" s="32">
        <f>IF(Q51="Free Recall",1,IF(Q51="Cued Recall",2,IF(Q51="Recognition",3,IF(Q51="Multiple Choice",4,IF(Q51="Savings",5,IF(Q51="Stem Completion",6,IF(Q51="Fragment Completion",7,IF(Q51="anagram solution",8,IF(Q51="Matching",9,IF(Q51="Problem Solving",10,"99"))))))))))</f>
        <v>3</v>
      </c>
      <c r="S51" s="31" t="s">
        <v>196</v>
      </c>
      <c r="T51" s="31" t="s">
        <v>132</v>
      </c>
      <c r="U51" s="32">
        <f>IF(T51="within",1,0)</f>
        <v>1</v>
      </c>
      <c r="V51" s="31">
        <v>30</v>
      </c>
      <c r="W51" s="32">
        <f>F51*V51</f>
        <v>900</v>
      </c>
      <c r="X51" s="32">
        <v>3</v>
      </c>
      <c r="Y51" s="41">
        <f>AV50</f>
        <v>1.5</v>
      </c>
      <c r="Z51" s="32" t="s">
        <v>20</v>
      </c>
      <c r="AA51" s="32">
        <v>5.9</v>
      </c>
      <c r="AB51" s="32" t="str">
        <f>IF(AA51&lt;60,"1",IF(AA51&lt;=43200,"2",IF(AA51&lt;=777600,"3","4")))</f>
        <v>1</v>
      </c>
      <c r="AC51" s="28">
        <f>AVERAGE(AV50:DA50)</f>
        <v>3.5</v>
      </c>
      <c r="AD51" s="32" t="str">
        <f>IF(AC51&lt;60,"1",IF(AC51&lt;=43200,"2",IF(AC51&lt;=777600,"3","4")))</f>
        <v>1</v>
      </c>
      <c r="AE51" s="41">
        <f>AA51-Y51</f>
        <v>4.4000000000000004</v>
      </c>
      <c r="AF51" s="45">
        <f>AV51</f>
        <v>2.1418932078794231</v>
      </c>
      <c r="AG51" s="28">
        <f>((AW51-AV51)+(AX51-AW51))/2</f>
        <v>-0.1526439134208768</v>
      </c>
      <c r="AH51" s="4"/>
      <c r="AI51" s="28">
        <f>RSQ(AV51:AX51,AV50:AX50)</f>
        <v>0.99325213611125152</v>
      </c>
      <c r="AJ51" s="51">
        <f>SLOPE(AV51:AX51,AV50:AX50)</f>
        <v>-6.6782403697885961E-2</v>
      </c>
      <c r="AK51" s="28">
        <f>INTERCEPT(AV51:AX51,AV50:AX50)</f>
        <v>2.2325327930237187</v>
      </c>
      <c r="AL51" s="28">
        <f>INDEX(LINEST(LN(AV51:AX51),LN(AV50:AX50),TRUE,TRUE),3,1)</f>
        <v>0.98350693260723931</v>
      </c>
      <c r="AM51" s="28">
        <f>INDEX(LINEST(LN(AV51:AX51),LN(AV50:AX50)),1)</f>
        <v>-0.11092243663828597</v>
      </c>
      <c r="AN51" s="28">
        <f>EXP(INDEX(LINEST(LN(AV51:AX51),LN(AV50:AX50)),1,2))</f>
        <v>2.2533402760318717</v>
      </c>
      <c r="AO51" s="47">
        <f>INDEX(LINEST((AV51:AX51),LN(AV50:AX50),TRUE,TRUE),3,1)</f>
        <v>0.98840536656453504</v>
      </c>
      <c r="AP51" s="47">
        <f>INDEX(LINEST((AV51:AX51),LN(AV50:AX50)),1)</f>
        <v>-0.22021861691418326</v>
      </c>
      <c r="AQ51" s="48">
        <f>INDEX(LINEST(LN(AV51:AX51),SQRT(AV50:AX50),TRUE,TRUE),3,1)</f>
        <v>0.99909754172789123</v>
      </c>
      <c r="AR51" s="56">
        <f>INDEX(LINEST(LN(AV51:AX51),SQRT((AV50:AX50))),1)</f>
        <v>-0.125928522369957</v>
      </c>
      <c r="AS51" s="49">
        <f>INDEX(LINEST(1/(AV51:AX51),1/(SQRT(AV50:AX50)),TRUE,TRUE),3,1)</f>
        <v>0.9397176996327623</v>
      </c>
      <c r="AT51" s="49">
        <f>INDEX(LINEST(1/(AV51:AX51),1/SQRT(AV50:AX50)),1)</f>
        <v>-0.18544274718436415</v>
      </c>
      <c r="AU51" s="3"/>
      <c r="AV51" s="25">
        <v>2.1418932078794231</v>
      </c>
      <c r="AW51" s="25">
        <v>2.0178845513262602</v>
      </c>
      <c r="AX51" s="25">
        <v>1.8366053810376695</v>
      </c>
      <c r="AY51" s="25"/>
      <c r="AZ51" s="25"/>
      <c r="BA51" s="25"/>
      <c r="BB51" s="25"/>
      <c r="BC51" s="25"/>
      <c r="BD51" s="25"/>
      <c r="BE51" s="25"/>
      <c r="BF51" s="25"/>
      <c r="BG51" s="25"/>
      <c r="BH51" s="25"/>
      <c r="BI51" s="25"/>
      <c r="BJ51" s="25"/>
      <c r="BK51" s="25"/>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1"/>
      <c r="CS51" s="1"/>
      <c r="CT51" s="1"/>
      <c r="CU51" s="1"/>
    </row>
    <row r="52" spans="1:99" s="9" customFormat="1" ht="12" customHeight="1" x14ac:dyDescent="0.2">
      <c r="A52" s="37">
        <v>43509</v>
      </c>
      <c r="B52" s="1"/>
      <c r="C52" s="1"/>
      <c r="D52" s="32"/>
      <c r="E52" s="41"/>
      <c r="F52" s="32"/>
      <c r="G52" s="32"/>
      <c r="H52" s="32"/>
      <c r="I52" s="32"/>
      <c r="J52" s="32"/>
      <c r="K52" s="36"/>
      <c r="L52" s="36"/>
      <c r="M52" s="32"/>
      <c r="N52" s="32"/>
      <c r="O52" s="32"/>
      <c r="P52" s="32"/>
      <c r="Q52" s="32"/>
      <c r="R52" s="32"/>
      <c r="S52" s="32"/>
      <c r="T52" s="32"/>
      <c r="U52" s="32"/>
      <c r="V52" s="32"/>
      <c r="W52" s="32"/>
      <c r="X52" s="32"/>
      <c r="Y52" s="41"/>
      <c r="Z52" s="32"/>
      <c r="AA52" s="32"/>
      <c r="AB52" s="32"/>
      <c r="AC52" s="32"/>
      <c r="AD52" s="32"/>
      <c r="AE52" s="32"/>
      <c r="AF52" s="45"/>
      <c r="AG52" s="28"/>
      <c r="AH52" s="4"/>
      <c r="AI52" s="28"/>
      <c r="AJ52" s="51"/>
      <c r="AK52" s="28"/>
      <c r="AL52" s="28"/>
      <c r="AM52" s="28"/>
      <c r="AN52" s="28"/>
      <c r="AO52" s="47"/>
      <c r="AP52" s="47"/>
      <c r="AQ52" s="47"/>
      <c r="AR52" s="55"/>
      <c r="AS52" s="47"/>
      <c r="AT52" s="47"/>
      <c r="AU52" s="3"/>
      <c r="AV52" s="26">
        <v>1.5</v>
      </c>
      <c r="AW52" s="18">
        <v>3</v>
      </c>
      <c r="AX52" s="18">
        <v>6</v>
      </c>
      <c r="AY52" s="25"/>
      <c r="AZ52" s="25"/>
      <c r="BA52" s="25"/>
      <c r="BB52" s="25"/>
      <c r="BC52" s="25"/>
      <c r="BD52" s="25"/>
      <c r="BE52" s="25"/>
      <c r="BF52" s="25"/>
      <c r="BG52" s="25"/>
      <c r="BH52" s="25"/>
      <c r="BI52" s="25"/>
      <c r="BJ52" s="25"/>
      <c r="BK52" s="25"/>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1"/>
      <c r="CS52" s="1"/>
      <c r="CT52" s="1"/>
      <c r="CU52" s="1"/>
    </row>
    <row r="53" spans="1:99" s="9" customFormat="1" ht="12" customHeight="1" x14ac:dyDescent="0.2">
      <c r="A53" s="37">
        <v>43509</v>
      </c>
      <c r="B53" s="1" t="s">
        <v>70</v>
      </c>
      <c r="C53" s="1" t="s">
        <v>17</v>
      </c>
      <c r="D53" s="32">
        <v>2010</v>
      </c>
      <c r="E53" s="41">
        <v>1</v>
      </c>
      <c r="F53" s="32">
        <v>30</v>
      </c>
      <c r="G53" s="32">
        <v>30</v>
      </c>
      <c r="H53" s="32" t="s">
        <v>14</v>
      </c>
      <c r="I53" s="32" t="s">
        <v>145</v>
      </c>
      <c r="J53" s="32" t="s">
        <v>147</v>
      </c>
      <c r="K53" s="32">
        <f>IF(J53="syllables",1,IF(J53="trigrams",2,IF(J53="strings",3,IF(J53="visual array",4,IF(J53="characters",5,IF(J53="letters",6,IF(J53="free forms",7,IF(J53="odors",8,IF(J53="words",9,IF(J53="pictures",10,IF(J53="object pictures",11,IF(J53="faces",12,IF(J53="names",13,IF(J53="idioms",14,IF(J53="grades",15,IF(J53="syllable-digit pairs",16,IF(J53="trigram-word pairs",17,IF(J53="word-digit pairs",18,IF(J53="English-Swahili pairs",19,IF(J53="spatial position",20,IF(J53="word pairs",21,IF(J53="word triads",22,IF(J53="generated words",23,IF(J53="word definition pairs",24,IF(J53="math problems",25,IF(J53="famous faces",26,IF(J53="famous names",27,IF(J53="famous voices",28,IF(J53="television programs",29,IF(J53="race horses",30,IF(J53="new vocabulary",31,IF(J53="sentences",32,IF(J53="concepts",33,IF(J53="ad slides",34,IF(J53="scenes",35,IF(J53="famous scenes",36,IF(J53="poems",37,IF(J53="walk",38,IF(J53="faces and events",39,IF(J53="events and names",40,IF(J53="flashbulb",41,IF(J53="stories",42,IF(J53="course material",43,IF(J53="autobiographical",44,IF(J53="novels",45,IF(J53="public events",46,"99"))))))))))))))))))))))))))))))))))))))))))))))</f>
        <v>4</v>
      </c>
      <c r="L53" s="32">
        <f>IF(J53="syllables",1,IF(J53="trigrams",1,IF(J53="strings",1,IF(J53="visual array",1,IF(J53="characters",1,IF(J53="letters",1,IF(J53="free forms",1,IF(J53="odors",2,IF(J53="words",2,IF(J53="pictures",2,IF(J53="object pictures",2,IF(J53="faces",2,IF(J53="names",2,IF(J53="idioms","2",IF(J53="grades",2,IF(J53="syllable-digit pairs",3,IF(J53="trigram-word pairs",3,IF(J53="word-digit pairs",3,IF(J53="English-Swahili pairs",3,IF(J53="spatial position",3,IF(J53="word pairs",4,IF(J53="word triads",4,IF(J53="generated words",4,IF(J53="word definition pairs",4,IF(J53="math problems",4,IF(J53="famous faces",4,IF(J53="famous names",4,IF(J53="famous voices",4,IF(J53="television programs",4,IF(J53="race horses",4,IF(J53="new vocabulary",4,IF(J53="sentences",5,IF(J53="concepts",5,IF(J53="ad slides",5,IF(J53="scenes",5,IF(J53="famous scenes",5,IF(J53="poems",6,IF(J53="walk",6,IF(J53="faces and events",6,IF(J53="events and names",6,IF(J53="flashbulb",7,IF(J53="stories",7,IF(J53="course material",7,IF(J53="autobiographical",7,IF(J53="novels",7,IF(J53="public events",7,"99"))))))))))))))))))))))))))))))))))))))))))))))</f>
        <v>1</v>
      </c>
      <c r="M53" s="32">
        <v>0</v>
      </c>
      <c r="N53" s="32">
        <v>1</v>
      </c>
      <c r="O53" s="32">
        <v>1</v>
      </c>
      <c r="P53" s="32" t="s">
        <v>19</v>
      </c>
      <c r="Q53" s="32" t="s">
        <v>18</v>
      </c>
      <c r="R53" s="32">
        <f>IF(Q53="Free Recall",1,IF(Q53="Cued Recall",2,IF(Q53="Recognition",3,IF(Q53="Multiple Choice",4,IF(Q53="Savings",5,IF(Q53="Stem Completion",6,IF(Q53="Fragment Completion",7,IF(Q53="anagram solution",8,IF(Q53="Matching",9,IF(Q53="Problem Solving",10,"99"))))))))))</f>
        <v>3</v>
      </c>
      <c r="S53" s="31" t="s">
        <v>196</v>
      </c>
      <c r="T53" s="31" t="s">
        <v>132</v>
      </c>
      <c r="U53" s="32">
        <f>IF(T53="within",1,0)</f>
        <v>1</v>
      </c>
      <c r="V53" s="31">
        <v>30</v>
      </c>
      <c r="W53" s="32">
        <f>F53*V53</f>
        <v>900</v>
      </c>
      <c r="X53" s="32">
        <v>3</v>
      </c>
      <c r="Y53" s="41">
        <f>AV52</f>
        <v>1.5</v>
      </c>
      <c r="Z53" s="32" t="s">
        <v>20</v>
      </c>
      <c r="AA53" s="32">
        <v>5.9</v>
      </c>
      <c r="AB53" s="32" t="str">
        <f>IF(AA53&lt;60,"1",IF(AA53&lt;=43200,"2",IF(AA53&lt;=777600,"3","4")))</f>
        <v>1</v>
      </c>
      <c r="AC53" s="28">
        <f>AVERAGE(AV52:DA52)</f>
        <v>3.5</v>
      </c>
      <c r="AD53" s="32" t="str">
        <f>IF(AC53&lt;60,"1",IF(AC53&lt;=43200,"2",IF(AC53&lt;=777600,"3","4")))</f>
        <v>1</v>
      </c>
      <c r="AE53" s="41">
        <f>AA53-Y53</f>
        <v>4.4000000000000004</v>
      </c>
      <c r="AF53" s="45">
        <f>AV53</f>
        <v>1.9878541283846878</v>
      </c>
      <c r="AG53" s="28">
        <f>((AW53-AV53)+(AX53-AW53))/2</f>
        <v>-0.43797604663352496</v>
      </c>
      <c r="AH53" s="4"/>
      <c r="AI53" s="28">
        <f>RSQ(AV53:AX53,AV52:AX52)</f>
        <v>0.98615045353761965</v>
      </c>
      <c r="AJ53" s="51">
        <f>SLOPE(AV53:AX53,AV52:AX52)</f>
        <v>-0.19031553292731232</v>
      </c>
      <c r="AK53" s="28">
        <f>INTERCEPT(AV53:AX53,AV52:AX52)</f>
        <v>2.2342630375873673</v>
      </c>
      <c r="AL53" s="28">
        <f>INDEX(LINEST(LN(AV53:AX53),LN(AV52:AX52),TRUE,TRUE),3,1)</f>
        <v>0.97747139078539813</v>
      </c>
      <c r="AM53" s="28">
        <f>INDEX(LINEST(LN(AV53:AX53),LN(AV52:AX52)),1)</f>
        <v>-0.41909110484810935</v>
      </c>
      <c r="AN53" s="28">
        <f>EXP(INDEX(LINEST(LN(AV53:AX53),LN(AV52:AX52)),1,2))</f>
        <v>2.4167999025766114</v>
      </c>
      <c r="AO53" s="47">
        <f>INDEX(LINEST((AV53:AX53),LN(AV52:AX52),TRUE,TRUE),3,1)</f>
        <v>0.994800793055996</v>
      </c>
      <c r="AP53" s="47">
        <f>INDEX(LINEST((AV53:AX53),LN(AV52:AX52)),1)</f>
        <v>-0.63186587050633969</v>
      </c>
      <c r="AQ53" s="48">
        <f>INDEX(LINEST(LN(AV53:AX53),SQRT(AV52:AX52),TRUE,TRUE),3,1)</f>
        <v>0.99730578578153761</v>
      </c>
      <c r="AR53" s="56">
        <f>INDEX(LINEST(LN(AV53:AX53),SQRT((AV52:AX52))),1)</f>
        <v>-0.47682614319335764</v>
      </c>
      <c r="AS53" s="49">
        <f>INDEX(LINEST(1/(AV53:AX53),1/(SQRT(AV52:AX52)),TRUE,TRUE),3,1)</f>
        <v>0.89965061864396301</v>
      </c>
      <c r="AT53" s="49">
        <f>INDEX(LINEST(1/(AV53:AX53),1/SQRT(AV52:AX52)),1)</f>
        <v>-0.93965756575068204</v>
      </c>
      <c r="AU53" s="3"/>
      <c r="AV53" s="25">
        <v>1.9878541283846878</v>
      </c>
      <c r="AW53" s="25">
        <v>1.6047198535229974</v>
      </c>
      <c r="AX53" s="25">
        <v>1.1119020351176379</v>
      </c>
      <c r="AY53" s="25"/>
      <c r="AZ53" s="25"/>
      <c r="BA53" s="25"/>
      <c r="BB53" s="25"/>
      <c r="BC53" s="25"/>
      <c r="BD53" s="25"/>
      <c r="BE53" s="25"/>
      <c r="BF53" s="25"/>
      <c r="BG53" s="25"/>
      <c r="BH53" s="25"/>
      <c r="BI53" s="25"/>
      <c r="BJ53" s="25"/>
      <c r="BK53" s="25"/>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1"/>
      <c r="CS53" s="1"/>
      <c r="CT53" s="1"/>
      <c r="CU53" s="1"/>
    </row>
    <row r="54" spans="1:99" s="9" customFormat="1" ht="12" customHeight="1" x14ac:dyDescent="0.2">
      <c r="A54" s="37">
        <v>43509</v>
      </c>
      <c r="B54" s="1"/>
      <c r="C54" s="1"/>
      <c r="D54" s="32"/>
      <c r="E54" s="41"/>
      <c r="F54" s="32"/>
      <c r="G54" s="32"/>
      <c r="H54" s="32"/>
      <c r="I54" s="32"/>
      <c r="J54" s="32"/>
      <c r="K54" s="36"/>
      <c r="L54" s="36"/>
      <c r="M54" s="32"/>
      <c r="N54" s="32"/>
      <c r="O54" s="32"/>
      <c r="P54" s="32"/>
      <c r="Q54" s="32"/>
      <c r="R54" s="32"/>
      <c r="S54" s="32"/>
      <c r="T54" s="32"/>
      <c r="U54" s="32"/>
      <c r="V54" s="32"/>
      <c r="W54" s="32"/>
      <c r="X54" s="32"/>
      <c r="Y54" s="41"/>
      <c r="Z54" s="32"/>
      <c r="AA54" s="32"/>
      <c r="AB54" s="32"/>
      <c r="AC54" s="32"/>
      <c r="AD54" s="32"/>
      <c r="AE54" s="32"/>
      <c r="AF54" s="45"/>
      <c r="AG54" s="28"/>
      <c r="AH54" s="4"/>
      <c r="AI54" s="28"/>
      <c r="AJ54" s="51"/>
      <c r="AK54" s="28"/>
      <c r="AL54" s="28"/>
      <c r="AM54" s="28"/>
      <c r="AN54" s="28"/>
      <c r="AO54" s="47"/>
      <c r="AP54" s="47"/>
      <c r="AQ54" s="47"/>
      <c r="AR54" s="55"/>
      <c r="AS54" s="47"/>
      <c r="AT54" s="47"/>
      <c r="AU54" s="3"/>
      <c r="AV54" s="26">
        <v>1.5</v>
      </c>
      <c r="AW54" s="18">
        <v>3</v>
      </c>
      <c r="AX54" s="18">
        <v>6</v>
      </c>
      <c r="AY54" s="25"/>
      <c r="AZ54" s="25"/>
      <c r="BA54" s="25"/>
      <c r="BB54" s="25"/>
      <c r="BC54" s="25"/>
      <c r="BD54" s="25"/>
      <c r="BE54" s="25"/>
      <c r="BF54" s="25"/>
      <c r="BG54" s="25"/>
      <c r="BH54" s="25"/>
      <c r="BI54" s="25"/>
      <c r="BJ54" s="25"/>
      <c r="BK54" s="25"/>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1"/>
      <c r="CS54" s="1"/>
      <c r="CT54" s="1"/>
      <c r="CU54" s="1"/>
    </row>
    <row r="55" spans="1:99" s="9" customFormat="1" ht="12" customHeight="1" x14ac:dyDescent="0.2">
      <c r="A55" s="37">
        <v>43509</v>
      </c>
      <c r="B55" s="1" t="s">
        <v>70</v>
      </c>
      <c r="C55" s="1" t="s">
        <v>17</v>
      </c>
      <c r="D55" s="32">
        <v>2010</v>
      </c>
      <c r="E55" s="41">
        <v>1</v>
      </c>
      <c r="F55" s="32">
        <v>30</v>
      </c>
      <c r="G55" s="32">
        <v>30</v>
      </c>
      <c r="H55" s="32" t="s">
        <v>14</v>
      </c>
      <c r="I55" s="32" t="s">
        <v>146</v>
      </c>
      <c r="J55" s="32" t="s">
        <v>147</v>
      </c>
      <c r="K55" s="32">
        <f>IF(J55="syllables",1,IF(J55="trigrams",2,IF(J55="strings",3,IF(J55="visual array",4,IF(J55="characters",5,IF(J55="letters",6,IF(J55="free forms",7,IF(J55="odors",8,IF(J55="words",9,IF(J55="pictures",10,IF(J55="object pictures",11,IF(J55="faces",12,IF(J55="names",13,IF(J55="idioms",14,IF(J55="grades",15,IF(J55="syllable-digit pairs",16,IF(J55="trigram-word pairs",17,IF(J55="word-digit pairs",18,IF(J55="English-Swahili pairs",19,IF(J55="spatial position",20,IF(J55="word pairs",21,IF(J55="word triads",22,IF(J55="generated words",23,IF(J55="word definition pairs",24,IF(J55="math problems",25,IF(J55="famous faces",26,IF(J55="famous names",27,IF(J55="famous voices",28,IF(J55="television programs",29,IF(J55="race horses",30,IF(J55="new vocabulary",31,IF(J55="sentences",32,IF(J55="concepts",33,IF(J55="ad slides",34,IF(J55="scenes",35,IF(J55="famous scenes",36,IF(J55="poems",37,IF(J55="walk",38,IF(J55="faces and events",39,IF(J55="events and names",40,IF(J55="flashbulb",41,IF(J55="stories",42,IF(J55="course material",43,IF(J55="autobiographical",44,IF(J55="novels",45,IF(J55="public events",46,"99"))))))))))))))))))))))))))))))))))))))))))))))</f>
        <v>4</v>
      </c>
      <c r="L55" s="32">
        <f>IF(J55="syllables",1,IF(J55="trigrams",1,IF(J55="strings",1,IF(J55="visual array",1,IF(J55="characters",1,IF(J55="letters",1,IF(J55="free forms",1,IF(J55="odors",2,IF(J55="words",2,IF(J55="pictures",2,IF(J55="object pictures",2,IF(J55="faces",2,IF(J55="names",2,IF(J55="idioms","2",IF(J55="grades",2,IF(J55="syllable-digit pairs",3,IF(J55="trigram-word pairs",3,IF(J55="word-digit pairs",3,IF(J55="English-Swahili pairs",3,IF(J55="spatial position",3,IF(J55="word pairs",4,IF(J55="word triads",4,IF(J55="generated words",4,IF(J55="word definition pairs",4,IF(J55="math problems",4,IF(J55="famous faces",4,IF(J55="famous names",4,IF(J55="famous voices",4,IF(J55="television programs",4,IF(J55="race horses",4,IF(J55="new vocabulary",4,IF(J55="sentences",5,IF(J55="concepts",5,IF(J55="ad slides",5,IF(J55="scenes",5,IF(J55="famous scenes",5,IF(J55="poems",6,IF(J55="walk",6,IF(J55="faces and events",6,IF(J55="events and names",6,IF(J55="flashbulb",7,IF(J55="stories",7,IF(J55="course material",7,IF(J55="autobiographical",7,IF(J55="novels",7,IF(J55="public events",7,"99"))))))))))))))))))))))))))))))))))))))))))))))</f>
        <v>1</v>
      </c>
      <c r="M55" s="32">
        <v>0</v>
      </c>
      <c r="N55" s="32">
        <v>1</v>
      </c>
      <c r="O55" s="32">
        <v>1</v>
      </c>
      <c r="P55" s="32" t="s">
        <v>19</v>
      </c>
      <c r="Q55" s="32" t="s">
        <v>18</v>
      </c>
      <c r="R55" s="32">
        <f>IF(Q55="Free Recall",1,IF(Q55="Cued Recall",2,IF(Q55="Recognition",3,IF(Q55="Multiple Choice",4,IF(Q55="Savings",5,IF(Q55="Stem Completion",6,IF(Q55="Fragment Completion",7,IF(Q55="anagram solution",8,IF(Q55="Matching",9,IF(Q55="Problem Solving",10,"99"))))))))))</f>
        <v>3</v>
      </c>
      <c r="S55" s="31" t="s">
        <v>196</v>
      </c>
      <c r="T55" s="31" t="s">
        <v>132</v>
      </c>
      <c r="U55" s="32">
        <f>IF(T55="within",1,0)</f>
        <v>1</v>
      </c>
      <c r="V55" s="31">
        <v>30</v>
      </c>
      <c r="W55" s="32">
        <f>F55*V55</f>
        <v>900</v>
      </c>
      <c r="X55" s="32">
        <v>3</v>
      </c>
      <c r="Y55" s="41">
        <f>AV54</f>
        <v>1.5</v>
      </c>
      <c r="Z55" s="32" t="s">
        <v>20</v>
      </c>
      <c r="AA55" s="32">
        <v>5.9</v>
      </c>
      <c r="AB55" s="32" t="str">
        <f>IF(AA55&lt;60,"1",IF(AA55&lt;=43200,"2",IF(AA55&lt;=777600,"3","4")))</f>
        <v>1</v>
      </c>
      <c r="AC55" s="28">
        <f>AVERAGE(AV54:DA54)</f>
        <v>3.5</v>
      </c>
      <c r="AD55" s="32" t="str">
        <f>IF(AC55&lt;60,"1",IF(AC55&lt;=43200,"2",IF(AC55&lt;=777600,"3","4")))</f>
        <v>1</v>
      </c>
      <c r="AE55" s="41">
        <f>AA55-Y55</f>
        <v>4.4000000000000004</v>
      </c>
      <c r="AF55" s="45">
        <f>AV55</f>
        <v>1.5975106585391123</v>
      </c>
      <c r="AG55" s="28">
        <f>((AW55-AV55)+(AX55-AW55))/2</f>
        <v>-0.26887115419253593</v>
      </c>
      <c r="AH55" s="4"/>
      <c r="AI55" s="28">
        <f>RSQ(AV55:AX55,AV54:AX54)</f>
        <v>0.9945653239352118</v>
      </c>
      <c r="AJ55" s="51">
        <f>SLOPE(AV55:AX55,AV54:AX54)</f>
        <v>-0.11782213192112227</v>
      </c>
      <c r="AK55" s="28">
        <f>INTERCEPT(AV55:AX55,AV54:AX54)</f>
        <v>1.7591584269407525</v>
      </c>
      <c r="AL55" s="28">
        <f>INDEX(LINEST(LN(AV55:AX55),LN(AV54:AX54),TRUE,TRUE),3,1)</f>
        <v>0.97133756240334646</v>
      </c>
      <c r="AM55" s="28">
        <f>INDEX(LINEST(LN(AV55:AX55),LN(AV54:AX54)),1)</f>
        <v>-0.29603830479199178</v>
      </c>
      <c r="AN55" s="28">
        <f>EXP(INDEX(LINEST(LN(AV55:AX55),LN(AV54:AX54)),1,2))</f>
        <v>1.8382806588340852</v>
      </c>
      <c r="AO55" s="47">
        <f>INDEX(LINEST((AV55:AX55),LN(AV54:AX54),TRUE,TRUE),3,1)</f>
        <v>0.9865263263549916</v>
      </c>
      <c r="AP55" s="47">
        <f>INDEX(LINEST((AV55:AX55),LN(AV54:AX54)),1)</f>
        <v>-0.38789908079166341</v>
      </c>
      <c r="AQ55" s="48">
        <f>INDEX(LINEST(LN(AV55:AX55),SQRT(AV54:AX54),TRUE,TRUE),3,1)</f>
        <v>0.99491302031829476</v>
      </c>
      <c r="AR55" s="56">
        <f>INDEX(LINEST(LN(AV55:AX55),SQRT((AV54:AX54))),1)</f>
        <v>-0.33747751917640911</v>
      </c>
      <c r="AS55" s="49">
        <f>INDEX(LINEST(1/(AV55:AX55),1/(SQRT(AV54:AX54)),TRUE,TRUE),3,1)</f>
        <v>0.90129885841503399</v>
      </c>
      <c r="AT55" s="49">
        <f>INDEX(LINEST(1/(AV55:AX55),1/SQRT(AV54:AX54)),1)</f>
        <v>-0.75333322448847018</v>
      </c>
      <c r="AU55" s="3"/>
      <c r="AV55" s="25">
        <v>1.5975106585391123</v>
      </c>
      <c r="AW55" s="25">
        <v>1.3830638869573209</v>
      </c>
      <c r="AX55" s="25">
        <v>1.0597683501540405</v>
      </c>
      <c r="AY55" s="25"/>
      <c r="AZ55" s="25"/>
      <c r="BA55" s="25"/>
      <c r="BB55" s="25"/>
      <c r="BC55" s="25"/>
      <c r="BD55" s="25"/>
      <c r="BE55" s="25"/>
      <c r="BF55" s="25"/>
      <c r="BG55" s="25"/>
      <c r="BH55" s="25"/>
      <c r="BI55" s="25"/>
      <c r="BJ55" s="25"/>
      <c r="BK55" s="25"/>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1"/>
      <c r="CS55" s="1"/>
      <c r="CT55" s="1"/>
      <c r="CU55" s="1"/>
    </row>
    <row r="56" spans="1:99" s="9" customFormat="1" ht="12" customHeight="1" x14ac:dyDescent="0.2">
      <c r="A56" s="37">
        <v>43509</v>
      </c>
      <c r="B56" s="1"/>
      <c r="C56" s="1"/>
      <c r="D56" s="32"/>
      <c r="E56" s="41"/>
      <c r="F56" s="32"/>
      <c r="G56" s="32"/>
      <c r="H56" s="32"/>
      <c r="I56" s="32"/>
      <c r="J56" s="32"/>
      <c r="K56" s="36"/>
      <c r="L56" s="36"/>
      <c r="M56" s="32"/>
      <c r="N56" s="32"/>
      <c r="O56" s="32"/>
      <c r="P56" s="32"/>
      <c r="Q56" s="32"/>
      <c r="R56" s="32"/>
      <c r="S56" s="32"/>
      <c r="T56" s="32"/>
      <c r="U56" s="32"/>
      <c r="V56" s="32"/>
      <c r="W56" s="32"/>
      <c r="X56" s="32"/>
      <c r="Y56" s="41"/>
      <c r="Z56" s="32"/>
      <c r="AA56" s="32"/>
      <c r="AB56" s="32"/>
      <c r="AC56" s="32"/>
      <c r="AD56" s="32"/>
      <c r="AE56" s="32"/>
      <c r="AF56" s="45"/>
      <c r="AG56" s="28"/>
      <c r="AH56" s="4"/>
      <c r="AI56" s="28"/>
      <c r="AJ56" s="51"/>
      <c r="AK56" s="28"/>
      <c r="AL56" s="28"/>
      <c r="AM56" s="28"/>
      <c r="AN56" s="28"/>
      <c r="AO56" s="28"/>
      <c r="AP56" s="28"/>
      <c r="AQ56" s="28"/>
      <c r="AR56" s="51"/>
      <c r="AS56" s="28"/>
      <c r="AT56" s="28"/>
      <c r="AU56" s="4"/>
      <c r="AV56" s="26">
        <v>1.5</v>
      </c>
      <c r="AW56" s="18">
        <v>3</v>
      </c>
      <c r="AX56" s="18">
        <v>6</v>
      </c>
      <c r="AY56" s="25"/>
      <c r="AZ56" s="25"/>
      <c r="BA56" s="25"/>
      <c r="BB56" s="25"/>
      <c r="BC56" s="25"/>
      <c r="BD56" s="25"/>
      <c r="BE56" s="25"/>
      <c r="BF56" s="25"/>
      <c r="BG56" s="25"/>
      <c r="BH56" s="25"/>
      <c r="BI56" s="25"/>
      <c r="BJ56" s="25"/>
      <c r="BK56" s="25"/>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1"/>
      <c r="CS56" s="1"/>
      <c r="CT56" s="1"/>
      <c r="CU56" s="1"/>
    </row>
    <row r="57" spans="1:99" s="9" customFormat="1" ht="12" customHeight="1" x14ac:dyDescent="0.2">
      <c r="A57" s="37">
        <v>43509</v>
      </c>
      <c r="B57" s="1" t="s">
        <v>70</v>
      </c>
      <c r="C57" s="1" t="s">
        <v>17</v>
      </c>
      <c r="D57" s="32">
        <v>2010</v>
      </c>
      <c r="E57" s="41">
        <v>2</v>
      </c>
      <c r="F57" s="32">
        <v>32</v>
      </c>
      <c r="G57" s="32">
        <v>32</v>
      </c>
      <c r="H57" s="32" t="s">
        <v>22</v>
      </c>
      <c r="I57" s="32" t="s">
        <v>144</v>
      </c>
      <c r="J57" s="32" t="s">
        <v>148</v>
      </c>
      <c r="K57" s="32">
        <f>IF(J57="syllables",1,IF(J57="trigrams",2,IF(J57="strings",3,IF(J57="visual array",4,IF(J57="characters",5,IF(J57="letters",6,IF(J57="free forms",7,IF(J57="odors",8,IF(J57="words",9,IF(J57="pictures",10,IF(J57="object pictures",11,IF(J57="faces",12,IF(J57="names",13,IF(J57="idioms",14,IF(J57="grades",15,IF(J57="syllable-digit pairs",16,IF(J57="trigram-word pairs",17,IF(J57="word-digit pairs",18,IF(J57="English-Swahili pairs",19,IF(J57="spatial position",20,IF(J57="word pairs",21,IF(J57="word triads",22,IF(J57="generated words",23,IF(J57="word definition pairs",24,IF(J57="math problems",25,IF(J57="famous faces",26,IF(J57="famous names",27,IF(J57="famous voices",28,IF(J57="television programs",29,IF(J57="race horses",30,IF(J57="new vocabulary",31,IF(J57="sentences",32,IF(J57="concepts",33,IF(J57="ad slides",34,IF(J57="scenes",35,IF(J57="famous scenes",36,IF(J57="poems",37,IF(J57="walk",38,IF(J57="faces and events",39,IF(J57="events and names",40,IF(J57="flashbulb",41,IF(J57="stories",42,IF(J57="course material",43,IF(J57="autobiographical",44,IF(J57="novels",45,IF(J57="public events",46,"99"))))))))))))))))))))))))))))))))))))))))))))))</f>
        <v>5</v>
      </c>
      <c r="L57" s="32">
        <f>IF(J57="syllables",1,IF(J57="trigrams",1,IF(J57="strings",1,IF(J57="visual array",1,IF(J57="characters",1,IF(J57="letters",1,IF(J57="free forms",1,IF(J57="odors",2,IF(J57="words",2,IF(J57="pictures",2,IF(J57="object pictures",2,IF(J57="faces",2,IF(J57="names",2,IF(J57="idioms","2",IF(J57="grades",2,IF(J57="syllable-digit pairs",3,IF(J57="trigram-word pairs",3,IF(J57="word-digit pairs",3,IF(J57="English-Swahili pairs",3,IF(J57="spatial position",3,IF(J57="word pairs",4,IF(J57="word triads",4,IF(J57="generated words",4,IF(J57="word definition pairs",4,IF(J57="math problems",4,IF(J57="famous faces",4,IF(J57="famous names",4,IF(J57="famous voices",4,IF(J57="television programs",4,IF(J57="race horses",4,IF(J57="new vocabulary",4,IF(J57="sentences",5,IF(J57="concepts",5,IF(J57="ad slides",5,IF(J57="scenes",5,IF(J57="famous scenes",5,IF(J57="poems",6,IF(J57="walk",6,IF(J57="faces and events",6,IF(J57="events and names",6,IF(J57="flashbulb",7,IF(J57="stories",7,IF(J57="course material",7,IF(J57="autobiographical",7,IF(J57="novels",7,IF(J57="public events",7,"99"))))))))))))))))))))))))))))))))))))))))))))))</f>
        <v>1</v>
      </c>
      <c r="M57" s="32">
        <v>0</v>
      </c>
      <c r="N57" s="32">
        <v>1</v>
      </c>
      <c r="O57" s="32">
        <v>1</v>
      </c>
      <c r="P57" s="32" t="s">
        <v>21</v>
      </c>
      <c r="Q57" s="32" t="s">
        <v>18</v>
      </c>
      <c r="R57" s="32">
        <f>IF(Q57="Free Recall",1,IF(Q57="Cued Recall",2,IF(Q57="Recognition",3,IF(Q57="Multiple Choice",4,IF(Q57="Savings",5,IF(Q57="Stem Completion",6,IF(Q57="Fragment Completion",7,IF(Q57="anagram solution",8,IF(Q57="Matching",9,IF(Q57="Problem Solving",10,"99"))))))))))</f>
        <v>3</v>
      </c>
      <c r="S57" s="31" t="s">
        <v>196</v>
      </c>
      <c r="T57" s="31" t="s">
        <v>132</v>
      </c>
      <c r="U57" s="32">
        <f>IF(T57="within",1,0)</f>
        <v>1</v>
      </c>
      <c r="V57" s="31">
        <v>24</v>
      </c>
      <c r="W57" s="32">
        <f>F57*V57</f>
        <v>768</v>
      </c>
      <c r="X57" s="32">
        <v>3</v>
      </c>
      <c r="Y57" s="41">
        <f>AV56</f>
        <v>1.5</v>
      </c>
      <c r="Z57" s="32" t="s">
        <v>23</v>
      </c>
      <c r="AA57" s="32">
        <v>6</v>
      </c>
      <c r="AB57" s="32" t="str">
        <f>IF(AA57&lt;60,"1",IF(AA57&lt;=43200,"2",IF(AA57&lt;=777600,"3","4")))</f>
        <v>1</v>
      </c>
      <c r="AC57" s="28">
        <f>AVERAGE(AV56:DA56)</f>
        <v>3.5</v>
      </c>
      <c r="AD57" s="32" t="str">
        <f>IF(AC57&lt;60,"1",IF(AC57&lt;=43200,"2",IF(AC57&lt;=777600,"3","4")))</f>
        <v>1</v>
      </c>
      <c r="AE57" s="41">
        <f>AA57-Y57</f>
        <v>4.5</v>
      </c>
      <c r="AF57" s="45">
        <f>AV57</f>
        <v>2.0344845939611522</v>
      </c>
      <c r="AG57" s="28">
        <f>((AW57-AV57)+(AX57-AW57))/2</f>
        <v>-0.1977466722415685</v>
      </c>
      <c r="AH57" s="4"/>
      <c r="AI57" s="28">
        <f>RSQ(AV57:AX57,AV56:AX56)</f>
        <v>0.9999787581842956</v>
      </c>
      <c r="AJ57" s="51">
        <f>SLOPE(AV57:AX57,AV56:AX56)</f>
        <v>-8.7809523747010731E-2</v>
      </c>
      <c r="AK57" s="28">
        <f>INTERCEPT(AV57:AX57,AV56:AX56)</f>
        <v>2.1654979043384905</v>
      </c>
      <c r="AL57" s="28">
        <f>INDEX(LINEST(LN(AV57:AX57),LN(AV56:AX56),TRUE,TRUE),3,1)</f>
        <v>0.95586051113611836</v>
      </c>
      <c r="AM57" s="28">
        <f>INDEX(LINEST(LN(AV57:AX57),LN(AV56:AX56)),1)</f>
        <v>-0.15592760187876892</v>
      </c>
      <c r="AN57" s="28">
        <f>EXP(INDEX(LINEST(LN(AV57:AX57),LN(AV56:AX56)),1,2))</f>
        <v>2.196521471728528</v>
      </c>
      <c r="AO57" s="47">
        <f>INDEX(LINEST((AV57:AX57),LN(AV56:AX56),TRUE,TRUE),3,1)</f>
        <v>0.96597657628898237</v>
      </c>
      <c r="AP57" s="47">
        <f>INDEX(LINEST((AV57:AX57),LN(AV56:AX56)),1)</f>
        <v>-0.28528814339520614</v>
      </c>
      <c r="AQ57" s="48">
        <f>INDEX(LINEST(LN(AV57:AX57),SQRT(AV56:AX56),TRUE,TRUE),3,1)</f>
        <v>0.98729969172829346</v>
      </c>
      <c r="AR57" s="56">
        <f>INDEX(LINEST(LN(AV57:AX57),SQRT((AV56:AX56))),1)</f>
        <v>-0.17850061388165192</v>
      </c>
      <c r="AS57" s="49">
        <f>INDEX(LINEST(1/(AV57:AX57),1/(SQRT(AV56:AX56)),TRUE,TRUE),3,1)</f>
        <v>0.89154403263525195</v>
      </c>
      <c r="AT57" s="49">
        <f>INDEX(LINEST(1/(AV57:AX57),1/SQRT(AV56:AX56)),1)</f>
        <v>-0.28082284629668081</v>
      </c>
      <c r="AU57" s="3"/>
      <c r="AV57" s="25">
        <v>2.0344845939611522</v>
      </c>
      <c r="AW57" s="25">
        <v>1.9010178702326925</v>
      </c>
      <c r="AX57" s="25">
        <v>1.6389912494780152</v>
      </c>
      <c r="AY57" s="25"/>
      <c r="AZ57" s="25"/>
      <c r="BA57" s="25"/>
      <c r="BB57" s="25"/>
      <c r="BC57" s="25"/>
      <c r="BD57" s="25"/>
      <c r="BE57" s="25"/>
      <c r="BF57" s="25"/>
      <c r="BG57" s="25"/>
      <c r="BH57" s="25"/>
      <c r="BI57" s="25"/>
      <c r="BJ57" s="25"/>
      <c r="BK57" s="25"/>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1"/>
      <c r="CS57" s="1"/>
      <c r="CT57" s="1"/>
      <c r="CU57" s="1"/>
    </row>
    <row r="58" spans="1:99" s="9" customFormat="1" ht="12" customHeight="1" x14ac:dyDescent="0.2">
      <c r="A58" s="37">
        <v>43509</v>
      </c>
      <c r="B58" s="1"/>
      <c r="C58" s="1"/>
      <c r="D58" s="32"/>
      <c r="E58" s="41"/>
      <c r="F58" s="32"/>
      <c r="G58" s="32"/>
      <c r="H58" s="32"/>
      <c r="I58" s="32"/>
      <c r="J58" s="32"/>
      <c r="K58" s="36"/>
      <c r="L58" s="36"/>
      <c r="M58" s="32"/>
      <c r="N58" s="32"/>
      <c r="O58" s="32"/>
      <c r="P58" s="32"/>
      <c r="Q58" s="32"/>
      <c r="R58" s="32"/>
      <c r="S58" s="32"/>
      <c r="T58" s="32"/>
      <c r="U58" s="32"/>
      <c r="V58" s="32"/>
      <c r="W58" s="32"/>
      <c r="X58" s="32"/>
      <c r="Y58" s="41"/>
      <c r="Z58" s="32"/>
      <c r="AA58" s="32"/>
      <c r="AB58" s="32"/>
      <c r="AC58" s="32"/>
      <c r="AD58" s="32"/>
      <c r="AE58" s="32"/>
      <c r="AF58" s="45"/>
      <c r="AG58" s="28"/>
      <c r="AH58" s="4"/>
      <c r="AI58" s="28"/>
      <c r="AJ58" s="51"/>
      <c r="AK58" s="28"/>
      <c r="AL58" s="28"/>
      <c r="AM58" s="28"/>
      <c r="AN58" s="28"/>
      <c r="AO58" s="47"/>
      <c r="AP58" s="47"/>
      <c r="AQ58" s="47"/>
      <c r="AR58" s="55"/>
      <c r="AS58" s="47"/>
      <c r="AT58" s="47"/>
      <c r="AU58" s="3"/>
      <c r="AV58" s="26">
        <v>1.5</v>
      </c>
      <c r="AW58" s="18">
        <v>3</v>
      </c>
      <c r="AX58" s="18">
        <v>6</v>
      </c>
      <c r="AY58" s="25"/>
      <c r="AZ58" s="25"/>
      <c r="BA58" s="25"/>
      <c r="BB58" s="25"/>
      <c r="BC58" s="25"/>
      <c r="BD58" s="25"/>
      <c r="BE58" s="25"/>
      <c r="BF58" s="25"/>
      <c r="BG58" s="25"/>
      <c r="BH58" s="25"/>
      <c r="BI58" s="25"/>
      <c r="BJ58" s="25"/>
      <c r="BK58" s="25"/>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1"/>
      <c r="CS58" s="1"/>
      <c r="CT58" s="1"/>
      <c r="CU58" s="1"/>
    </row>
    <row r="59" spans="1:99" s="9" customFormat="1" ht="12" customHeight="1" x14ac:dyDescent="0.2">
      <c r="A59" s="37">
        <v>43509</v>
      </c>
      <c r="B59" s="1" t="s">
        <v>70</v>
      </c>
      <c r="C59" s="1" t="s">
        <v>17</v>
      </c>
      <c r="D59" s="32">
        <v>2010</v>
      </c>
      <c r="E59" s="41">
        <v>2</v>
      </c>
      <c r="F59" s="32">
        <v>32</v>
      </c>
      <c r="G59" s="32">
        <v>32</v>
      </c>
      <c r="H59" s="32" t="s">
        <v>22</v>
      </c>
      <c r="I59" s="32" t="s">
        <v>149</v>
      </c>
      <c r="J59" s="32" t="s">
        <v>148</v>
      </c>
      <c r="K59" s="32">
        <f>IF(J59="syllables",1,IF(J59="trigrams",2,IF(J59="strings",3,IF(J59="visual array",4,IF(J59="characters",5,IF(J59="letters",6,IF(J59="free forms",7,IF(J59="odors",8,IF(J59="words",9,IF(J59="pictures",10,IF(J59="object pictures",11,IF(J59="faces",12,IF(J59="names",13,IF(J59="idioms",14,IF(J59="grades",15,IF(J59="syllable-digit pairs",16,IF(J59="trigram-word pairs",17,IF(J59="word-digit pairs",18,IF(J59="English-Swahili pairs",19,IF(J59="spatial position",20,IF(J59="word pairs",21,IF(J59="word triads",22,IF(J59="generated words",23,IF(J59="word definition pairs",24,IF(J59="math problems",25,IF(J59="famous faces",26,IF(J59="famous names",27,IF(J59="famous voices",28,IF(J59="television programs",29,IF(J59="race horses",30,IF(J59="new vocabulary",31,IF(J59="sentences",32,IF(J59="concepts",33,IF(J59="ad slides",34,IF(J59="scenes",35,IF(J59="famous scenes",36,IF(J59="poems",37,IF(J59="walk",38,IF(J59="faces and events",39,IF(J59="events and names",40,IF(J59="flashbulb",41,IF(J59="stories",42,IF(J59="course material",43,IF(J59="autobiographical",44,IF(J59="novels",45,IF(J59="public events",46,"99"))))))))))))))))))))))))))))))))))))))))))))))</f>
        <v>5</v>
      </c>
      <c r="L59" s="32">
        <f>IF(J59="syllables",1,IF(J59="trigrams",1,IF(J59="strings",1,IF(J59="visual array",1,IF(J59="characters",1,IF(J59="letters",1,IF(J59="free forms",1,IF(J59="odors",2,IF(J59="words",2,IF(J59="pictures",2,IF(J59="object pictures",2,IF(J59="faces",2,IF(J59="names",2,IF(J59="idioms","2",IF(J59="grades",2,IF(J59="syllable-digit pairs",3,IF(J59="trigram-word pairs",3,IF(J59="word-digit pairs",3,IF(J59="English-Swahili pairs",3,IF(J59="spatial position",3,IF(J59="word pairs",4,IF(J59="word triads",4,IF(J59="generated words",4,IF(J59="word definition pairs",4,IF(J59="math problems",4,IF(J59="famous faces",4,IF(J59="famous names",4,IF(J59="famous voices",4,IF(J59="television programs",4,IF(J59="race horses",4,IF(J59="new vocabulary",4,IF(J59="sentences",5,IF(J59="concepts",5,IF(J59="ad slides",5,IF(J59="scenes",5,IF(J59="famous scenes",5,IF(J59="poems",6,IF(J59="walk",6,IF(J59="faces and events",6,IF(J59="events and names",6,IF(J59="flashbulb",7,IF(J59="stories",7,IF(J59="course material",7,IF(J59="autobiographical",7,IF(J59="novels",7,IF(J59="public events",7,"99"))))))))))))))))))))))))))))))))))))))))))))))</f>
        <v>1</v>
      </c>
      <c r="M59" s="32">
        <v>0</v>
      </c>
      <c r="N59" s="32">
        <v>1</v>
      </c>
      <c r="O59" s="32">
        <v>1</v>
      </c>
      <c r="P59" s="32" t="s">
        <v>21</v>
      </c>
      <c r="Q59" s="32" t="s">
        <v>18</v>
      </c>
      <c r="R59" s="32">
        <f>IF(Q59="Free Recall",1,IF(Q59="Cued Recall",2,IF(Q59="Recognition",3,IF(Q59="Multiple Choice",4,IF(Q59="Savings",5,IF(Q59="Stem Completion",6,IF(Q59="Fragment Completion",7,IF(Q59="anagram solution",8,IF(Q59="Matching",9,IF(Q59="Problem Solving",10,"99"))))))))))</f>
        <v>3</v>
      </c>
      <c r="S59" s="31" t="s">
        <v>196</v>
      </c>
      <c r="T59" s="31" t="s">
        <v>132</v>
      </c>
      <c r="U59" s="32">
        <f>IF(T59="within",1,0)</f>
        <v>1</v>
      </c>
      <c r="V59" s="31">
        <v>24</v>
      </c>
      <c r="W59" s="32">
        <f>F59*V59</f>
        <v>768</v>
      </c>
      <c r="X59" s="32">
        <v>3</v>
      </c>
      <c r="Y59" s="41">
        <f>AV58</f>
        <v>1.5</v>
      </c>
      <c r="Z59" s="32" t="s">
        <v>23</v>
      </c>
      <c r="AA59" s="32">
        <v>6</v>
      </c>
      <c r="AB59" s="32" t="str">
        <f>IF(AA59&lt;60,"1",IF(AA59&lt;=43200,"2",IF(AA59&lt;=777600,"3","4")))</f>
        <v>1</v>
      </c>
      <c r="AC59" s="28">
        <f>AVERAGE(AV58:DA58)</f>
        <v>3.5</v>
      </c>
      <c r="AD59" s="32" t="str">
        <f>IF(AC59&lt;60,"1",IF(AC59&lt;=43200,"2",IF(AC59&lt;=777600,"3","4")))</f>
        <v>1</v>
      </c>
      <c r="AE59" s="41">
        <f>AA59-Y59</f>
        <v>4.5</v>
      </c>
      <c r="AF59" s="45">
        <f>AV59</f>
        <v>1.6542119370280264</v>
      </c>
      <c r="AG59" s="28">
        <f>((AW59-AV59)+(AX59-AW59))/2</f>
        <v>-0.24466594837929601</v>
      </c>
      <c r="AH59" s="4"/>
      <c r="AI59" s="28">
        <f>RSQ(AV59:AX59,AV58:AX58)</f>
        <v>0.71985978416406005</v>
      </c>
      <c r="AJ59" s="51">
        <f>SLOPE(AV59:AX59,AV58:AX58)</f>
        <v>-9.7084855212209914E-2</v>
      </c>
      <c r="AK59" s="28">
        <f>INTERCEPT(AV59:AX59,AV58:AX58)</f>
        <v>1.6949391232390463</v>
      </c>
      <c r="AL59" s="28">
        <f>INDEX(LINEST(LN(AV59:AX59),LN(AV58:AX58),TRUE,TRUE),3,1)</f>
        <v>0.88818344543911931</v>
      </c>
      <c r="AM59" s="28">
        <f>INDEX(LINEST(LN(AV59:AX59),LN(AV58:AX58)),1)</f>
        <v>-0.25298134529679334</v>
      </c>
      <c r="AN59" s="28">
        <f>EXP(INDEX(LINEST(LN(AV59:AX59),LN(AV58:AX58)),1,2))</f>
        <v>1.7682286533584635</v>
      </c>
      <c r="AO59" s="47">
        <f>INDEX(LINEST((AV59:AX59),LN(AV58:AX58),TRUE,TRUE),3,1)</f>
        <v>0.87082862105457037</v>
      </c>
      <c r="AP59" s="47">
        <f>INDEX(LINEST((AV59:AX59),LN(AV58:AX58)),1)</f>
        <v>-0.35297835040120551</v>
      </c>
      <c r="AQ59" s="48">
        <f>INDEX(LINEST(LN(AV59:AX59),SQRT(AV58:AX58),TRUE,TRUE),3,1)</f>
        <v>0.81881193532398899</v>
      </c>
      <c r="AR59" s="56">
        <f>INDEX(LINEST(LN(AV59:AX59),SQRT((AV58:AX58))),1)</f>
        <v>-0.27360165285722626</v>
      </c>
      <c r="AS59" s="49">
        <f>INDEX(LINEST(1/(AV59:AX59),1/(SQRT(AV58:AX58)),TRUE,TRUE),3,1)</f>
        <v>0.95531575057098972</v>
      </c>
      <c r="AT59" s="49">
        <f>INDEX(LINEST(1/(AV59:AX59),1/SQRT(AV58:AX58)),1)</f>
        <v>-0.63564120743626462</v>
      </c>
      <c r="AU59" s="3"/>
      <c r="AV59" s="25">
        <v>1.6542119370280264</v>
      </c>
      <c r="AW59" s="25">
        <v>1.2463344126914746</v>
      </c>
      <c r="AX59" s="25">
        <v>1.1648800402694344</v>
      </c>
      <c r="AY59" s="25"/>
      <c r="AZ59" s="25"/>
      <c r="BA59" s="25"/>
      <c r="BB59" s="25"/>
      <c r="BC59" s="25"/>
      <c r="BD59" s="25"/>
      <c r="BE59" s="25"/>
      <c r="BF59" s="25"/>
      <c r="BG59" s="25"/>
      <c r="BH59" s="25"/>
      <c r="BI59" s="25"/>
      <c r="BJ59" s="25"/>
      <c r="BK59" s="25"/>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1"/>
      <c r="CS59" s="1"/>
      <c r="CT59" s="1"/>
      <c r="CU59" s="1"/>
    </row>
    <row r="60" spans="1:99" s="9" customFormat="1" ht="12" customHeight="1" x14ac:dyDescent="0.2">
      <c r="A60" s="37">
        <v>43509</v>
      </c>
      <c r="B60" s="1"/>
      <c r="C60" s="1"/>
      <c r="D60" s="32"/>
      <c r="E60" s="41"/>
      <c r="F60" s="32"/>
      <c r="G60" s="32"/>
      <c r="H60" s="32"/>
      <c r="I60" s="32"/>
      <c r="J60" s="32"/>
      <c r="K60" s="36"/>
      <c r="L60" s="36"/>
      <c r="M60" s="32"/>
      <c r="N60" s="32"/>
      <c r="O60" s="32"/>
      <c r="P60" s="32"/>
      <c r="Q60" s="32"/>
      <c r="R60" s="32"/>
      <c r="S60" s="32"/>
      <c r="T60" s="32"/>
      <c r="U60" s="32"/>
      <c r="V60" s="32"/>
      <c r="W60" s="32"/>
      <c r="X60" s="32"/>
      <c r="Y60" s="41"/>
      <c r="Z60" s="32"/>
      <c r="AA60" s="32"/>
      <c r="AB60" s="32"/>
      <c r="AC60" s="32"/>
      <c r="AD60" s="32"/>
      <c r="AE60" s="32"/>
      <c r="AF60" s="45"/>
      <c r="AG60" s="28"/>
      <c r="AH60" s="4"/>
      <c r="AI60" s="28"/>
      <c r="AJ60" s="51"/>
      <c r="AK60" s="28"/>
      <c r="AL60" s="28"/>
      <c r="AM60" s="28"/>
      <c r="AN60" s="28"/>
      <c r="AO60" s="47"/>
      <c r="AP60" s="47"/>
      <c r="AQ60" s="47"/>
      <c r="AR60" s="55"/>
      <c r="AS60" s="47"/>
      <c r="AT60" s="47"/>
      <c r="AU60" s="3"/>
      <c r="AV60" s="26">
        <v>1.5</v>
      </c>
      <c r="AW60" s="18">
        <v>3</v>
      </c>
      <c r="AX60" s="18">
        <v>6</v>
      </c>
      <c r="AY60" s="25"/>
      <c r="AZ60" s="25"/>
      <c r="BA60" s="25"/>
      <c r="BB60" s="25"/>
      <c r="BC60" s="25"/>
      <c r="BD60" s="25"/>
      <c r="BE60" s="25"/>
      <c r="BF60" s="25"/>
      <c r="BG60" s="25"/>
      <c r="BH60" s="25"/>
      <c r="BI60" s="25"/>
      <c r="BJ60" s="25"/>
      <c r="BK60" s="25"/>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1"/>
      <c r="CS60" s="1"/>
      <c r="CT60" s="1"/>
      <c r="CU60" s="1"/>
    </row>
    <row r="61" spans="1:99" s="9" customFormat="1" ht="12" customHeight="1" x14ac:dyDescent="0.2">
      <c r="A61" s="37">
        <v>43509</v>
      </c>
      <c r="B61" s="1" t="s">
        <v>70</v>
      </c>
      <c r="C61" s="1" t="s">
        <v>17</v>
      </c>
      <c r="D61" s="32">
        <v>2010</v>
      </c>
      <c r="E61" s="41">
        <v>2</v>
      </c>
      <c r="F61" s="32">
        <v>32</v>
      </c>
      <c r="G61" s="32">
        <v>32</v>
      </c>
      <c r="H61" s="32" t="s">
        <v>22</v>
      </c>
      <c r="I61" s="32" t="s">
        <v>144</v>
      </c>
      <c r="J61" s="32" t="s">
        <v>133</v>
      </c>
      <c r="K61" s="32">
        <f>IF(J61="syllables",1,IF(J61="trigrams",2,IF(J61="strings",3,IF(J61="visual array",4,IF(J61="characters",5,IF(J61="letters",6,IF(J61="free forms",7,IF(J61="odors",8,IF(J61="words",9,IF(J61="pictures",10,IF(J61="object pictures",11,IF(J61="faces",12,IF(J61="names",13,IF(J61="idioms",14,IF(J61="grades",15,IF(J61="syllable-digit pairs",16,IF(J61="trigram-word pairs",17,IF(J61="word-digit pairs",18,IF(J61="English-Swahili pairs",19,IF(J61="spatial position",20,IF(J61="word pairs",21,IF(J61="word triads",22,IF(J61="generated words",23,IF(J61="word definition pairs",24,IF(J61="math problems",25,IF(J61="famous faces",26,IF(J61="famous names",27,IF(J61="famous voices",28,IF(J61="television programs",29,IF(J61="race horses",30,IF(J61="new vocabulary",31,IF(J61="sentences",32,IF(J61="concepts",33,IF(J61="ad slides",34,IF(J61="scenes",35,IF(J61="famous scenes",36,IF(J61="poems",37,IF(J61="walk",38,IF(J61="faces and events",39,IF(J61="events and names",40,IF(J61="flashbulb",41,IF(J61="stories",42,IF(J61="course material",43,IF(J61="autobiographical",44,IF(J61="novels",45,IF(J61="public events",46,"99"))))))))))))))))))))))))))))))))))))))))))))))</f>
        <v>6</v>
      </c>
      <c r="L61" s="32">
        <f>IF(J61="syllables",1,IF(J61="trigrams",1,IF(J61="strings",1,IF(J61="visual array",1,IF(J61="characters",1,IF(J61="letters",1,IF(J61="free forms",1,IF(J61="odors",2,IF(J61="words",2,IF(J61="pictures",2,IF(J61="object pictures",2,IF(J61="faces",2,IF(J61="names",2,IF(J61="idioms","2",IF(J61="grades",2,IF(J61="syllable-digit pairs",3,IF(J61="trigram-word pairs",3,IF(J61="word-digit pairs",3,IF(J61="English-Swahili pairs",3,IF(J61="spatial position",3,IF(J61="word pairs",4,IF(J61="word triads",4,IF(J61="generated words",4,IF(J61="word definition pairs",4,IF(J61="math problems",4,IF(J61="famous faces",4,IF(J61="famous names",4,IF(J61="famous voices",4,IF(J61="television programs",4,IF(J61="race horses",4,IF(J61="new vocabulary",4,IF(J61="sentences",5,IF(J61="concepts",5,IF(J61="ad slides",5,IF(J61="scenes",5,IF(J61="famous scenes",5,IF(J61="poems",6,IF(J61="walk",6,IF(J61="faces and events",6,IF(J61="events and names",6,IF(J61="flashbulb",7,IF(J61="stories",7,IF(J61="course material",7,IF(J61="autobiographical",7,IF(J61="novels",7,IF(J61="public events",7,"99"))))))))))))))))))))))))))))))))))))))))))))))</f>
        <v>1</v>
      </c>
      <c r="M61" s="32">
        <v>0</v>
      </c>
      <c r="N61" s="32">
        <v>1</v>
      </c>
      <c r="O61" s="32">
        <v>1</v>
      </c>
      <c r="P61" s="32" t="s">
        <v>21</v>
      </c>
      <c r="Q61" s="32" t="s">
        <v>18</v>
      </c>
      <c r="R61" s="32">
        <f>IF(Q61="Free Recall",1,IF(Q61="Cued Recall",2,IF(Q61="Recognition",3,IF(Q61="Multiple Choice",4,IF(Q61="Savings",5,IF(Q61="Stem Completion",6,IF(Q61="Fragment Completion",7,IF(Q61="anagram solution",8,IF(Q61="Matching",9,IF(Q61="Problem Solving",10,"99"))))))))))</f>
        <v>3</v>
      </c>
      <c r="S61" s="31" t="s">
        <v>196</v>
      </c>
      <c r="T61" s="31" t="s">
        <v>132</v>
      </c>
      <c r="U61" s="32">
        <f>IF(T61="within",1,0)</f>
        <v>1</v>
      </c>
      <c r="V61" s="31">
        <v>24</v>
      </c>
      <c r="W61" s="32">
        <f>F61*V61</f>
        <v>768</v>
      </c>
      <c r="X61" s="32">
        <v>3</v>
      </c>
      <c r="Y61" s="41">
        <f>AV60</f>
        <v>1.5</v>
      </c>
      <c r="Z61" s="32" t="s">
        <v>23</v>
      </c>
      <c r="AA61" s="32">
        <v>6</v>
      </c>
      <c r="AB61" s="32" t="str">
        <f>IF(AA61&lt;60,"1",IF(AA61&lt;=43200,"2",IF(AA61&lt;=777600,"3","4")))</f>
        <v>1</v>
      </c>
      <c r="AC61" s="28">
        <f>AVERAGE(AV60:DA60)</f>
        <v>3.5</v>
      </c>
      <c r="AD61" s="32" t="str">
        <f>IF(AC61&lt;60,"1",IF(AC61&lt;=43200,"2",IF(AC61&lt;=777600,"3","4")))</f>
        <v>1</v>
      </c>
      <c r="AE61" s="41">
        <f>AA61-Y61</f>
        <v>4.5</v>
      </c>
      <c r="AF61" s="45">
        <f>AV61</f>
        <v>1.7877997830827177</v>
      </c>
      <c r="AG61" s="30">
        <f>((AW61-AV61)+(AX61-AW61))/2</f>
        <v>-9.0316243254996431E-3</v>
      </c>
      <c r="AH61" s="4"/>
      <c r="AI61" s="28">
        <f>RSQ(AV61:AX61,AV60:AX60)</f>
        <v>6.0428139367587279E-2</v>
      </c>
      <c r="AJ61" s="51">
        <f>SLOPE(AV61:AX61,AV60:AX60)</f>
        <v>-1.6646383652503916E-2</v>
      </c>
      <c r="AK61" s="28">
        <f>INTERCEPT(AV61:AX61,AV60:AX60)</f>
        <v>1.9264603141320102</v>
      </c>
      <c r="AL61" s="28">
        <f>INDEX(LINEST(LN(AV61:AX61),LN(AV60:AX60),TRUE,TRUE),3,1)</f>
        <v>3.9030136411333247E-3</v>
      </c>
      <c r="AM61" s="28">
        <f>INDEX(LINEST(LN(AV61:AX61),LN(AV60:AX60)),1)</f>
        <v>-7.3252894346361244E-3</v>
      </c>
      <c r="AN61" s="28">
        <f>EXP(INDEX(LINEST(LN(AV61:AX61),LN(AV60:AX60)),1,2))</f>
        <v>1.8790899550499556</v>
      </c>
      <c r="AO61" s="47">
        <f>INDEX(LINEST((AV61:AX61),LN(AV60:AX60),TRUE,TRUE),3,1)</f>
        <v>3.3882219265910871E-3</v>
      </c>
      <c r="AP61" s="47">
        <f>INDEX(LINEST((AV61:AX61),LN(AV60:AX60)),1)</f>
        <v>-1.3029879625570446E-2</v>
      </c>
      <c r="AQ61" s="48">
        <f>INDEX(LINEST(LN(AV61:AX61),SQRT(AV60:AX60),TRUE,TRUE),3,1)</f>
        <v>2.5777094921076306E-2</v>
      </c>
      <c r="AR61" s="56">
        <f>INDEX(LINEST(LN(AV61:AX61),SQRT((AV60:AX60))),1)</f>
        <v>-2.1204655138958375E-2</v>
      </c>
      <c r="AS61" s="49">
        <f>INDEX(LINEST(1/(AV61:AX61),1/(SQRT(AV60:AX60)),TRUE,TRUE),3,1)</f>
        <v>1.0074497810396205E-3</v>
      </c>
      <c r="AT61" s="49">
        <f>INDEX(LINEST(1/(AV61:AX61),1/SQRT(AV60:AX60)),1)</f>
        <v>6.5985899490699964E-3</v>
      </c>
      <c r="AU61" s="3"/>
      <c r="AV61" s="25">
        <v>1.7877997830827177</v>
      </c>
      <c r="AW61" s="25">
        <v>2.0470575965303035</v>
      </c>
      <c r="AX61" s="25">
        <v>1.7697365344317184</v>
      </c>
      <c r="AY61" s="25"/>
      <c r="AZ61" s="25"/>
      <c r="BA61" s="25"/>
      <c r="BB61" s="25"/>
      <c r="BC61" s="25"/>
      <c r="BD61" s="25"/>
      <c r="BE61" s="25"/>
      <c r="BF61" s="25"/>
      <c r="BG61" s="25"/>
      <c r="BH61" s="25"/>
      <c r="BI61" s="25"/>
      <c r="BJ61" s="25"/>
      <c r="BK61" s="25"/>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1"/>
      <c r="CS61" s="1"/>
      <c r="CT61" s="1"/>
      <c r="CU61" s="1"/>
    </row>
    <row r="62" spans="1:99" s="9" customFormat="1" ht="12" customHeight="1" x14ac:dyDescent="0.2">
      <c r="A62" s="37">
        <v>43509</v>
      </c>
      <c r="B62" s="1"/>
      <c r="C62" s="1"/>
      <c r="D62" s="32"/>
      <c r="E62" s="41"/>
      <c r="F62" s="32"/>
      <c r="G62" s="32"/>
      <c r="H62" s="32"/>
      <c r="I62" s="32"/>
      <c r="J62" s="32"/>
      <c r="K62" s="36"/>
      <c r="L62" s="36"/>
      <c r="M62" s="32"/>
      <c r="N62" s="32"/>
      <c r="O62" s="32"/>
      <c r="P62" s="32"/>
      <c r="Q62" s="32"/>
      <c r="R62" s="32"/>
      <c r="S62" s="32"/>
      <c r="T62" s="32"/>
      <c r="U62" s="32"/>
      <c r="V62" s="32"/>
      <c r="W62" s="32"/>
      <c r="X62" s="32"/>
      <c r="Y62" s="41"/>
      <c r="Z62" s="32"/>
      <c r="AA62" s="32"/>
      <c r="AB62" s="32"/>
      <c r="AC62" s="32"/>
      <c r="AD62" s="32"/>
      <c r="AE62" s="32"/>
      <c r="AF62" s="45"/>
      <c r="AG62" s="28"/>
      <c r="AH62" s="4"/>
      <c r="AI62" s="28"/>
      <c r="AJ62" s="51"/>
      <c r="AK62" s="28"/>
      <c r="AL62" s="28"/>
      <c r="AM62" s="28"/>
      <c r="AN62" s="28"/>
      <c r="AO62" s="47"/>
      <c r="AP62" s="47"/>
      <c r="AQ62" s="47"/>
      <c r="AR62" s="55"/>
      <c r="AS62" s="47"/>
      <c r="AT62" s="47"/>
      <c r="AU62" s="3"/>
      <c r="AV62" s="26">
        <v>1.5</v>
      </c>
      <c r="AW62" s="18">
        <v>3</v>
      </c>
      <c r="AX62" s="18">
        <v>6</v>
      </c>
      <c r="AY62" s="25"/>
      <c r="AZ62" s="25"/>
      <c r="BA62" s="25"/>
      <c r="BB62" s="25"/>
      <c r="BC62" s="25"/>
      <c r="BD62" s="25"/>
      <c r="BE62" s="25"/>
      <c r="BF62" s="25"/>
      <c r="BG62" s="25"/>
      <c r="BH62" s="25"/>
      <c r="BI62" s="25"/>
      <c r="BJ62" s="25"/>
      <c r="BK62" s="25"/>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1"/>
      <c r="CS62" s="1"/>
      <c r="CT62" s="1"/>
      <c r="CU62" s="1"/>
    </row>
    <row r="63" spans="1:99" s="9" customFormat="1" ht="12" customHeight="1" x14ac:dyDescent="0.2">
      <c r="A63" s="37">
        <v>43509</v>
      </c>
      <c r="B63" s="1" t="s">
        <v>70</v>
      </c>
      <c r="C63" s="1" t="s">
        <v>17</v>
      </c>
      <c r="D63" s="32">
        <v>2010</v>
      </c>
      <c r="E63" s="41">
        <v>2</v>
      </c>
      <c r="F63" s="32">
        <v>32</v>
      </c>
      <c r="G63" s="32">
        <v>32</v>
      </c>
      <c r="H63" s="32" t="s">
        <v>22</v>
      </c>
      <c r="I63" s="32" t="s">
        <v>149</v>
      </c>
      <c r="J63" s="32" t="s">
        <v>133</v>
      </c>
      <c r="K63" s="32">
        <f>IF(J63="syllables",1,IF(J63="trigrams",2,IF(J63="strings",3,IF(J63="visual array",4,IF(J63="characters",5,IF(J63="letters",6,IF(J63="free forms",7,IF(J63="odors",8,IF(J63="words",9,IF(J63="pictures",10,IF(J63="object pictures",11,IF(J63="faces",12,IF(J63="names",13,IF(J63="idioms",14,IF(J63="grades",15,IF(J63="syllable-digit pairs",16,IF(J63="trigram-word pairs",17,IF(J63="word-digit pairs",18,IF(J63="English-Swahili pairs",19,IF(J63="spatial position",20,IF(J63="word pairs",21,IF(J63="word triads",22,IF(J63="generated words",23,IF(J63="word definition pairs",24,IF(J63="math problems",25,IF(J63="famous faces",26,IF(J63="famous names",27,IF(J63="famous voices",28,IF(J63="television programs",29,IF(J63="race horses",30,IF(J63="new vocabulary",31,IF(J63="sentences",32,IF(J63="concepts",33,IF(J63="ad slides",34,IF(J63="scenes",35,IF(J63="famous scenes",36,IF(J63="poems",37,IF(J63="walk",38,IF(J63="faces and events",39,IF(J63="events and names",40,IF(J63="flashbulb",41,IF(J63="stories",42,IF(J63="course material",43,IF(J63="autobiographical",44,IF(J63="novels",45,IF(J63="public events",46,"99"))))))))))))))))))))))))))))))))))))))))))))))</f>
        <v>6</v>
      </c>
      <c r="L63" s="32">
        <f>IF(J63="syllables",1,IF(J63="trigrams",1,IF(J63="strings",1,IF(J63="visual array",1,IF(J63="characters",1,IF(J63="letters",1,IF(J63="free forms",1,IF(J63="odors",2,IF(J63="words",2,IF(J63="pictures",2,IF(J63="object pictures",2,IF(J63="faces",2,IF(J63="names",2,IF(J63="idioms","2",IF(J63="grades",2,IF(J63="syllable-digit pairs",3,IF(J63="trigram-word pairs",3,IF(J63="word-digit pairs",3,IF(J63="English-Swahili pairs",3,IF(J63="spatial position",3,IF(J63="word pairs",4,IF(J63="word triads",4,IF(J63="generated words",4,IF(J63="word definition pairs",4,IF(J63="math problems",4,IF(J63="famous faces",4,IF(J63="famous names",4,IF(J63="famous voices",4,IF(J63="television programs",4,IF(J63="race horses",4,IF(J63="new vocabulary",4,IF(J63="sentences",5,IF(J63="concepts",5,IF(J63="ad slides",5,IF(J63="scenes",5,IF(J63="famous scenes",5,IF(J63="poems",6,IF(J63="walk",6,IF(J63="faces and events",6,IF(J63="events and names",6,IF(J63="flashbulb",7,IF(J63="stories",7,IF(J63="course material",7,IF(J63="autobiographical",7,IF(J63="novels",7,IF(J63="public events",7,"99"))))))))))))))))))))))))))))))))))))))))))))))</f>
        <v>1</v>
      </c>
      <c r="M63" s="32">
        <v>0</v>
      </c>
      <c r="N63" s="32">
        <v>1</v>
      </c>
      <c r="O63" s="32">
        <v>1</v>
      </c>
      <c r="P63" s="32" t="s">
        <v>21</v>
      </c>
      <c r="Q63" s="32" t="s">
        <v>18</v>
      </c>
      <c r="R63" s="32">
        <f>IF(Q63="Free Recall",1,IF(Q63="Cued Recall",2,IF(Q63="Recognition",3,IF(Q63="Multiple Choice",4,IF(Q63="Savings",5,IF(Q63="Stem Completion",6,IF(Q63="Fragment Completion",7,IF(Q63="anagram solution",8,IF(Q63="Matching",9,IF(Q63="Problem Solving",10,"99"))))))))))</f>
        <v>3</v>
      </c>
      <c r="S63" s="31" t="s">
        <v>196</v>
      </c>
      <c r="T63" s="31" t="s">
        <v>132</v>
      </c>
      <c r="U63" s="32">
        <f>IF(T63="within",1,0)</f>
        <v>1</v>
      </c>
      <c r="V63" s="31">
        <v>24</v>
      </c>
      <c r="W63" s="32">
        <f>F63*V63</f>
        <v>768</v>
      </c>
      <c r="X63" s="32">
        <v>3</v>
      </c>
      <c r="Y63" s="41">
        <f>AV62</f>
        <v>1.5</v>
      </c>
      <c r="Z63" s="32" t="s">
        <v>23</v>
      </c>
      <c r="AA63" s="32">
        <v>6</v>
      </c>
      <c r="AB63" s="32" t="str">
        <f>IF(AA63&lt;60,"1",IF(AA63&lt;=43200,"2",IF(AA63&lt;=777600,"3","4")))</f>
        <v>1</v>
      </c>
      <c r="AC63" s="28">
        <f>AVERAGE(AV62:DA62)</f>
        <v>3.5</v>
      </c>
      <c r="AD63" s="32" t="str">
        <f>IF(AC63&lt;60,"1",IF(AC63&lt;=43200,"2",IF(AC63&lt;=777600,"3","4")))</f>
        <v>1</v>
      </c>
      <c r="AE63" s="41">
        <f>AA63-Y63</f>
        <v>4.5</v>
      </c>
      <c r="AF63" s="45">
        <f>AV63</f>
        <v>1.3552782535160466</v>
      </c>
      <c r="AG63" s="28">
        <f>((AW63-AV63)+(AX63-AW63))/2</f>
        <v>-0.33001723888019446</v>
      </c>
      <c r="AH63" s="4"/>
      <c r="AI63" s="28">
        <f>RSQ(AV63:AX63,AV62:AX62)</f>
        <v>0.99755759856532233</v>
      </c>
      <c r="AJ63" s="51">
        <f>SLOPE(AV63:AX63,AV62:AX62)</f>
        <v>-0.14808448455025391</v>
      </c>
      <c r="AK63" s="28">
        <f>INTERCEPT(AV63:AX63,AV62:AX62)</f>
        <v>1.5900963857729347</v>
      </c>
      <c r="AL63" s="28">
        <f>INDEX(LINEST(LN(AV63:AX63),LN(AV62:AX62),TRUE,TRUE),3,1)</f>
        <v>0.909489520923074</v>
      </c>
      <c r="AM63" s="28">
        <f>INDEX(LINEST(LN(AV63:AX63),LN(AV62:AX62)),1)</f>
        <v>-0.48149912713617249</v>
      </c>
      <c r="AN63" s="28">
        <f>EXP(INDEX(LINEST(LN(AV63:AX63),LN(AV62:AX62)),1,2))</f>
        <v>1.7507161124939945</v>
      </c>
      <c r="AO63" s="47">
        <f>INDEX(LINEST((AV63:AX63),LN(AV62:AX62),TRUE,TRUE),3,1)</f>
        <v>0.94369752160088116</v>
      </c>
      <c r="AP63" s="47">
        <f>INDEX(LINEST((AV63:AX63),LN(AV62:AX62)),1)</f>
        <v>-0.47611423394032482</v>
      </c>
      <c r="AQ63" s="48">
        <f>INDEX(LINEST(LN(AV63:AX63),SQRT(AV62:AX62),TRUE,TRUE),3,1)</f>
        <v>0.95782070917408235</v>
      </c>
      <c r="AR63" s="56">
        <f>INDEX(LINEST(LN(AV63:AX63),SQRT((AV62:AX62))),1)</f>
        <v>-0.5565808242608189</v>
      </c>
      <c r="AS63" s="49">
        <f>INDEX(LINEST(1/(AV63:AX63),1/(SQRT(AV62:AX62)),TRUE,TRUE),3,1)</f>
        <v>0.80242208344881527</v>
      </c>
      <c r="AT63" s="49">
        <f>INDEX(LINEST(1/(AV63:AX63),1/SQRT(AV62:AX62)),1)</f>
        <v>-1.6354511344626725</v>
      </c>
      <c r="AU63" s="3"/>
      <c r="AV63" s="25">
        <v>1.3552782535160466</v>
      </c>
      <c r="AW63" s="25">
        <v>1.1648800402694344</v>
      </c>
      <c r="AX63" s="25">
        <v>0.69524377575565766</v>
      </c>
      <c r="AY63" s="25"/>
      <c r="AZ63" s="25"/>
      <c r="BA63" s="25"/>
      <c r="BB63" s="25"/>
      <c r="BC63" s="25"/>
      <c r="BD63" s="25"/>
      <c r="BE63" s="25"/>
      <c r="BF63" s="25"/>
      <c r="BG63" s="25"/>
      <c r="BH63" s="25"/>
      <c r="BI63" s="25"/>
      <c r="BJ63" s="25"/>
      <c r="BK63" s="25"/>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1"/>
      <c r="CS63" s="1"/>
      <c r="CT63" s="1"/>
      <c r="CU63" s="1"/>
    </row>
    <row r="64" spans="1:99" s="60" customFormat="1" ht="12" customHeight="1" x14ac:dyDescent="0.2">
      <c r="A64" s="94">
        <v>43509</v>
      </c>
      <c r="B64" s="101"/>
      <c r="C64" s="101"/>
      <c r="D64" s="77"/>
      <c r="E64" s="98"/>
      <c r="F64" s="77"/>
      <c r="G64" s="77"/>
      <c r="H64" s="77"/>
      <c r="I64" s="77"/>
      <c r="J64" s="77"/>
      <c r="K64" s="102"/>
      <c r="L64" s="102"/>
      <c r="M64" s="77"/>
      <c r="N64" s="77"/>
      <c r="O64" s="77"/>
      <c r="P64" s="77"/>
      <c r="Q64" s="77"/>
      <c r="R64" s="77"/>
      <c r="S64" s="77"/>
      <c r="T64" s="77"/>
      <c r="U64" s="32"/>
      <c r="V64" s="77"/>
      <c r="W64" s="77"/>
      <c r="X64" s="77"/>
      <c r="Y64" s="98"/>
      <c r="Z64" s="77"/>
      <c r="AA64" s="77"/>
      <c r="AB64" s="77"/>
      <c r="AC64" s="77"/>
      <c r="AD64" s="77"/>
      <c r="AE64" s="77"/>
      <c r="AF64" s="99"/>
      <c r="AG64" s="100"/>
      <c r="AH64" s="84"/>
      <c r="AI64" s="100"/>
      <c r="AJ64" s="105"/>
      <c r="AK64" s="100"/>
      <c r="AL64" s="100"/>
      <c r="AM64" s="100"/>
      <c r="AN64" s="100"/>
      <c r="AO64" s="100"/>
      <c r="AP64" s="100"/>
      <c r="AQ64" s="100"/>
      <c r="AR64" s="105"/>
      <c r="AS64" s="100"/>
      <c r="AT64" s="100"/>
      <c r="AU64" s="62"/>
      <c r="AV64" s="64">
        <v>90</v>
      </c>
      <c r="AW64" s="64">
        <f>2*24*60*60</f>
        <v>172800</v>
      </c>
      <c r="AX64" s="64">
        <f>14*24*60*60</f>
        <v>1209600</v>
      </c>
      <c r="AY64" s="64">
        <f>61*24*60*60</f>
        <v>5270400</v>
      </c>
      <c r="AZ64" s="65"/>
      <c r="BA64" s="65"/>
      <c r="BB64" s="65"/>
      <c r="BC64" s="65"/>
      <c r="BD64" s="65"/>
      <c r="BE64" s="65"/>
      <c r="BF64" s="65"/>
      <c r="BG64" s="65"/>
      <c r="BH64" s="65"/>
      <c r="BI64" s="65"/>
      <c r="BJ64" s="65"/>
      <c r="BK64" s="65"/>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59"/>
      <c r="CS64" s="59"/>
      <c r="CT64" s="59"/>
      <c r="CU64" s="59"/>
    </row>
    <row r="65" spans="1:99" s="60" customFormat="1" ht="12" customHeight="1" x14ac:dyDescent="0.2">
      <c r="A65" s="94">
        <v>43509</v>
      </c>
      <c r="B65" s="101" t="s">
        <v>65</v>
      </c>
      <c r="C65" s="101" t="s">
        <v>34</v>
      </c>
      <c r="D65" s="77">
        <v>2002</v>
      </c>
      <c r="E65" s="98">
        <v>2</v>
      </c>
      <c r="F65" s="77">
        <v>60</v>
      </c>
      <c r="G65" s="77">
        <v>20</v>
      </c>
      <c r="H65" s="77" t="s">
        <v>15</v>
      </c>
      <c r="I65" s="77" t="s">
        <v>202</v>
      </c>
      <c r="J65" s="77" t="s">
        <v>12</v>
      </c>
      <c r="K65" s="77" t="str">
        <f>IF(J65="syllables","1",IF(J65="trigrams","2",IF(J65="strings","3",IF(J65="visual array","4",IF(J65="characters","5",IF(J65="letters","6",IF(J65="free forms","7",IF(J65="odors","8",IF(J65="words","9",IF(J65="pictures","10",IF(J65="object pictures","11",IF(J65="faces","12",IF(J65="names","13",IF(J65="idioms","14",IF(J65="grades","15",IF(J65="syllable-digit pairs","16",IF(J65="trigram-word pairs","17",IF(J65="word-digit pairs","18",IF(J65="English-Swahili pairs","19",IF(J65="spatial position","20",IF(J65="word pairs","21",IF(J65="word triads","22",IF(J65="generated words","23",IF(J65="word definition pairs","24",IF(J65="math problems","25",IF(J65="famous faces","26",IF(J65="famous names","27",IF(J65="famous voices","28",IF(J65="television programs","29",IF(J65="race horses","30",IF(J65="new vocabulary","31",IF(J65="sentences","32",IF(J65="concepts","33",IF(J65="ad slides","34",IF(J65="scenes","35",IF(J65="famous scenes","36",IF(J65="poems","37",IF(J65="walk","38",IF(J65="faces and events","39",IF(J65="events and names","40",IF(J65="flashbulb","41",IF(J65="stories","42",IF(J65="course material","43",IF(J65="autobiographical","44",IF(J65="novels","45",IF(J65="public events","46",IF(J65="order","90","99")))))))))))))))))))))))))))))))))))))))))))))))</f>
        <v>9</v>
      </c>
      <c r="L65" s="77" t="str">
        <f>IF(J65="syllables","1",IF(J65="trigrams","1",IF(J65="strings","1",IF(J65="visual array","1",IF(J65="characters","1",IF(J65="letters","1",IF(J65="free forms","1",IF(J65="odors","2",IF(J65="words","2",IF(J65="pictures","2",IF(J65="object pictures","2",IF(J65="faces","2",IF(J65="names","2",IF(J65="idioms","2",IF(J65="grades","2",IF(J65="syllable-digit pairs","3",IF(J65="trigram-word pairs","3",IF(J65="word-digit pairs","3",IF(J65="English-Swahili pairs","3",IF(J65="spatial position","3",IF(J65="word pairs","4",IF(J65="word triads","4",IF(J65="generated words","4",IF(J65="word definition pairs","4",IF(J65="math problems","4",IF(J65="famous faces","4",IF(J65="famous names","4",IF(J65="famous voices","4",IF(J65="television programs","4",IF(J65="race horses","4",IF(J65="new vocabulary","4",IF(J65="sentences","5",IF(J65="concepts","5",IF(J65="ad slides","5",IF(J65="scenes","5",IF(J65="famous scenes","5",IF(J65="poems","6",IF(J65="walk","6",IF(J65="faces and events","6",IF(J65="events and names","6",IF(J65="flashbulb","7",IF(J65="stories","7",IF(J65="course material","7",IF(J65="autobiographical","7",IF(J65="novels","7",IF(J65="public events","7",IF(J65="order","90","99")))))))))))))))))))))))))))))))))))))))))))))))</f>
        <v>2</v>
      </c>
      <c r="M65" s="77" t="s">
        <v>195</v>
      </c>
      <c r="N65" s="77">
        <v>1</v>
      </c>
      <c r="O65" s="77" t="s">
        <v>195</v>
      </c>
      <c r="P65" s="77"/>
      <c r="Q65" s="77" t="s">
        <v>18</v>
      </c>
      <c r="R65" s="77" t="str">
        <f>IF(Q65="Free Recall","1",IF(Q65="Cued Recall","2",IF(Q65="Recognition","3",IF(Q65="Multiple Choice","4",IF(Q65="Savings","5",IF(Q65="Stem Completion","6",IF(Q65="Fragment Completion","7",IF(Q65="anagram solution","8",IF(Q65="Matching","9",IF(Q65="Problem Solving","10","99"))))))))))</f>
        <v>3</v>
      </c>
      <c r="S65" s="77" t="s">
        <v>196</v>
      </c>
      <c r="T65" s="77" t="s">
        <v>72</v>
      </c>
      <c r="U65" s="32">
        <f>IF(T65="within",1,0)</f>
        <v>0</v>
      </c>
      <c r="V65" s="77">
        <v>48</v>
      </c>
      <c r="W65" s="77">
        <f>F65*V65</f>
        <v>2880</v>
      </c>
      <c r="X65" s="77">
        <v>4</v>
      </c>
      <c r="Y65" s="98">
        <f>AV64</f>
        <v>90</v>
      </c>
      <c r="Z65" s="77" t="s">
        <v>64</v>
      </c>
      <c r="AA65" s="98">
        <f>61*24*60*60</f>
        <v>5270400</v>
      </c>
      <c r="AB65" s="77" t="str">
        <f>IF(AA65&lt;60,"1",IF(AA65&lt;=43200,"2",IF(AA65&lt;=777600,"3","4")))</f>
        <v>4</v>
      </c>
      <c r="AC65" s="100">
        <f>AVERAGE(AV64:DA64)</f>
        <v>1663222.5</v>
      </c>
      <c r="AD65" s="77" t="str">
        <f>IF(AC65&lt;60,"1",IF(AC65&lt;=43200,"2",IF(AC65&lt;=777600,"3","4")))</f>
        <v>4</v>
      </c>
      <c r="AE65" s="98">
        <f>AA65-Y65</f>
        <v>5270310</v>
      </c>
      <c r="AF65" s="99">
        <f>AV65</f>
        <v>1.7</v>
      </c>
      <c r="AG65" s="100">
        <f>((AW65-AV65)+(AX65-AW65)+(AY65-AX65))/3</f>
        <v>-0.45</v>
      </c>
      <c r="AH65" s="84"/>
      <c r="AI65" s="100">
        <f>RSQ(AV65:AY65,AV64:AY64)</f>
        <v>0.78480588955461461</v>
      </c>
      <c r="AJ65" s="105">
        <f>SLOPE(AV65:AY65,AV64:AY64)</f>
        <v>-2.0512987181984543E-7</v>
      </c>
      <c r="AK65" s="100">
        <f>INTERCEPT(AV65:AY65,AV64:AY64)</f>
        <v>1.3636766182328828</v>
      </c>
      <c r="AL65" s="100">
        <f>INDEX(LINEST(LN(AV65:AY65),LN(AV64:AY64),TRUE,TRUE),3,1)</f>
        <v>0.68453819801022919</v>
      </c>
      <c r="AM65" s="100">
        <f>INDEX(LINEST(LN(AV65:AY65),LN(AV64:AY64)),1)</f>
        <v>-0.11509432096161484</v>
      </c>
      <c r="AN65" s="100">
        <f>EXP(INDEX(LINEST(LN(AV65:AY65),LN(AV64:AY64)),1,2))</f>
        <v>3.3102340370742933</v>
      </c>
      <c r="AO65" s="104">
        <f>INDEX(LINEST((AV65:AY65),LN(AV64:AY64),TRUE,TRUE),3,1)</f>
        <v>0.86731633330472302</v>
      </c>
      <c r="AP65" s="104">
        <f>INDEX(LINEST((AV65:AY65),LN(AV64:AY64)),1)</f>
        <v>-0.10887599775689695</v>
      </c>
      <c r="AQ65" s="48">
        <f>INDEX(LINEST(LN(AV65:AY65),SQRT(AV64:AY64),TRUE,TRUE),3,1)</f>
        <v>0.9955021410712257</v>
      </c>
      <c r="AR65" s="56">
        <f>INDEX(LINEST(LN(AV65:AY65),SQRT((AV64:AY64))),1)</f>
        <v>-6.7681257549960625E-4</v>
      </c>
      <c r="AS65" s="49">
        <f>INDEX(LINEST(1/(AV65:AY65),1/(SQRT(AV64:AY64)),TRUE,TRUE),3,1)</f>
        <v>0.268766903389977</v>
      </c>
      <c r="AT65" s="49">
        <f>INDEX(LINEST(1/(AV65:AY65),1/SQRT(AV64:AY64)),1)</f>
        <v>-10.187627796679035</v>
      </c>
      <c r="AU65" s="63"/>
      <c r="AV65" s="65">
        <v>1.7</v>
      </c>
      <c r="AW65" s="65">
        <v>1.2</v>
      </c>
      <c r="AX65" s="65">
        <v>0.84</v>
      </c>
      <c r="AY65" s="65">
        <v>0.35</v>
      </c>
      <c r="AZ65" s="65"/>
      <c r="BA65" s="65"/>
      <c r="BB65" s="65"/>
      <c r="BC65" s="65"/>
      <c r="BD65" s="65"/>
      <c r="BE65" s="65"/>
      <c r="BF65" s="65"/>
      <c r="BG65" s="65"/>
      <c r="BH65" s="65"/>
      <c r="BI65" s="65"/>
      <c r="BJ65" s="65"/>
      <c r="BK65" s="65"/>
      <c r="BL65" s="61"/>
      <c r="BM65" s="61"/>
      <c r="BN65" s="61"/>
      <c r="BO65" s="61"/>
      <c r="BP65" s="61"/>
      <c r="BQ65" s="61"/>
      <c r="BR65" s="61"/>
      <c r="BS65" s="61"/>
      <c r="BT65" s="61"/>
      <c r="BU65" s="61"/>
      <c r="BV65" s="61"/>
      <c r="BW65" s="61"/>
      <c r="BX65" s="61"/>
      <c r="BY65" s="61"/>
      <c r="BZ65" s="61"/>
      <c r="CA65" s="61"/>
      <c r="CB65" s="61"/>
      <c r="CC65" s="61"/>
      <c r="CD65" s="61"/>
      <c r="CE65" s="61"/>
      <c r="CF65" s="61"/>
      <c r="CG65" s="61"/>
      <c r="CH65" s="61"/>
      <c r="CI65" s="61"/>
      <c r="CJ65" s="61"/>
      <c r="CK65" s="61"/>
      <c r="CL65" s="61"/>
      <c r="CM65" s="61"/>
      <c r="CN65" s="61"/>
      <c r="CO65" s="61"/>
      <c r="CP65" s="61"/>
      <c r="CQ65" s="61"/>
      <c r="CR65" s="59"/>
      <c r="CS65" s="59"/>
      <c r="CT65" s="59"/>
      <c r="CU65" s="59"/>
    </row>
    <row r="66" spans="1:99" ht="12" customHeight="1" x14ac:dyDescent="0.2">
      <c r="A66" s="37">
        <v>43979</v>
      </c>
      <c r="B66" s="11"/>
      <c r="C66" s="11"/>
      <c r="D66" s="31"/>
      <c r="E66" s="40"/>
      <c r="F66" s="31"/>
      <c r="G66" s="31"/>
      <c r="H66" s="31"/>
      <c r="I66" s="31"/>
      <c r="J66" s="31"/>
      <c r="K66" s="32"/>
      <c r="L66" s="32"/>
      <c r="M66" s="31"/>
      <c r="N66" s="31"/>
      <c r="O66" s="31"/>
      <c r="P66" s="31"/>
      <c r="Q66" s="31"/>
      <c r="R66" s="32"/>
      <c r="S66" s="32"/>
      <c r="T66" s="31"/>
      <c r="U66" s="32"/>
      <c r="V66" s="31"/>
      <c r="W66" s="32"/>
      <c r="X66" s="31"/>
      <c r="Y66" s="41"/>
      <c r="Z66" s="31"/>
      <c r="AA66" s="31"/>
      <c r="AB66" s="32"/>
      <c r="AC66" s="28"/>
      <c r="AD66" s="32"/>
      <c r="AE66" s="41"/>
      <c r="AF66" s="45"/>
      <c r="AG66" s="28"/>
      <c r="AH66" s="4"/>
      <c r="AI66" s="28"/>
      <c r="AJ66" s="51"/>
      <c r="AK66" s="28"/>
      <c r="AL66" s="28"/>
      <c r="AM66" s="28"/>
      <c r="AN66" s="28"/>
      <c r="AO66" s="47"/>
      <c r="AP66" s="47"/>
      <c r="AQ66" s="48"/>
      <c r="AR66" s="56"/>
      <c r="AS66" s="49"/>
      <c r="AT66" s="49"/>
      <c r="AU66" s="3"/>
      <c r="AV66" s="24">
        <v>60</v>
      </c>
      <c r="AW66" s="24">
        <f>60*60*24</f>
        <v>86400</v>
      </c>
      <c r="AX66" s="24">
        <f>60*60*24*7</f>
        <v>604800</v>
      </c>
      <c r="AY66" s="24">
        <f>60*60*24*25</f>
        <v>2160000</v>
      </c>
      <c r="AZ66" s="7"/>
      <c r="BA66" s="25" t="s">
        <v>179</v>
      </c>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11"/>
      <c r="CS66" s="11"/>
      <c r="CT66" s="11"/>
      <c r="CU66" s="11"/>
    </row>
    <row r="67" spans="1:99" ht="12" customHeight="1" x14ac:dyDescent="0.2">
      <c r="A67" s="37">
        <v>43979</v>
      </c>
      <c r="B67" s="11" t="s">
        <v>175</v>
      </c>
      <c r="C67" s="11" t="s">
        <v>34</v>
      </c>
      <c r="D67" s="31">
        <v>2020</v>
      </c>
      <c r="E67" s="40">
        <v>2</v>
      </c>
      <c r="F67" s="31">
        <v>70</v>
      </c>
      <c r="G67" s="31">
        <v>70</v>
      </c>
      <c r="H67" s="31" t="s">
        <v>176</v>
      </c>
      <c r="I67" s="31" t="s">
        <v>177</v>
      </c>
      <c r="J67" s="31" t="s">
        <v>82</v>
      </c>
      <c r="K67" s="32">
        <f>IF(J67="syllables",1,IF(J67="trigrams",2,IF(J67="strings",3,IF(J67="visual array",4,IF(J67="characters",5,IF(J67="letters",6,IF(J67="free forms",7,IF(J67="odors",8,IF(J67="words",9,IF(J67="pictures",10,IF(J67="object pictures",11,IF(J67="faces",12,IF(J67="names",13,IF(J67="idioms",14,IF(J67="grades",15,IF(J67="syllable-digit pairs",16,IF(J67="trigram-word pairs",17,IF(J67="word-digit pairs",18,IF(J67="English-Swahili pairs",19,IF(J67="spatial position",20,IF(J67="word pairs",21,IF(J67="word triads",22,IF(J67="generated words",23,IF(J67="word definition pairs",24,IF(J67="math problems",25,IF(J67="famous faces",26,IF(J67="famous names",27,IF(J67="famous voices",28,IF(J67="television programs",29,IF(J67="race horses",30,IF(J67="new vocabulary",31,IF(J67="sentences",32,IF(J67="concepts",33,IF(J67="ad slides",34,IF(J67="scenes",35,IF(J67="famous scenes",36,IF(J67="poems",37,IF(J67="walk",38,IF(J67="faces and events",39,IF(J67="events and names",40,IF(J67="flashbulb",41,IF(J67="stories",42,IF(J67="course material",43,IF(J67="autobiographical",44,IF(J67="novels",45,IF(J67="public events",46,"99"))))))))))))))))))))))))))))))))))))))))))))))</f>
        <v>10</v>
      </c>
      <c r="L67" s="32">
        <f>IF(J67="syllables",1,IF(J67="trigrams",1,IF(J67="strings",1,IF(J67="visual array",1,IF(J67="characters",1,IF(J67="letters",1,IF(J67="free forms",1,IF(J67="odors",2,IF(J67="words",2,IF(J67="pictures",2,IF(J67="object pictures",2,IF(J67="faces",2,IF(J67="names",2,IF(J67="idioms","2",IF(J67="grades",2,IF(J67="syllable-digit pairs",3,IF(J67="trigram-word pairs",3,IF(J67="word-digit pairs",3,IF(J67="English-Swahili pairs",3,IF(J67="spatial position",3,IF(J67="word pairs",4,IF(J67="word triads",4,IF(J67="generated words",4,IF(J67="word definition pairs",4,IF(J67="math problems",4,IF(J67="famous faces",4,IF(J67="famous names",4,IF(J67="famous voices",4,IF(J67="television programs",4,IF(J67="race horses",4,IF(J67="new vocabulary",4,IF(J67="sentences",5,IF(J67="concepts",5,IF(J67="ad slides",5,IF(J67="scenes",5,IF(J67="famous scenes",5,IF(J67="poems",6,IF(J67="walk",6,IF(J67="faces and events",6,IF(J67="events and names",6,IF(J67="flashbulb",7,IF(J67="stories",7,IF(J67="course material",7,IF(J67="autobiographical",7,IF(J67="novels",7,IF(J67="public events",7,"99"))))))))))))))))))))))))))))))))))))))))))))))</f>
        <v>2</v>
      </c>
      <c r="M67" s="31">
        <v>1</v>
      </c>
      <c r="N67" s="31">
        <v>2</v>
      </c>
      <c r="O67" s="31">
        <v>0</v>
      </c>
      <c r="P67" s="31"/>
      <c r="Q67" s="31" t="s">
        <v>18</v>
      </c>
      <c r="R67" s="32">
        <f>IF(Q67="Free Recall",1,IF(Q67="Cued Recall",2,IF(Q67="Recognition",3,IF(Q67="Multiple Choice",4,IF(Q67="Savings",5,IF(Q67="Stem Completion",6,IF(Q67="Fragment Completion",7,IF(Q67="anagram solution",8,IF(Q67="Matching",9,IF(Q67="Problem Solving",10,"99"))))))))))</f>
        <v>3</v>
      </c>
      <c r="S67" s="77" t="s">
        <v>196</v>
      </c>
      <c r="T67" s="31" t="s">
        <v>132</v>
      </c>
      <c r="U67" s="32">
        <f>IF(T67="within",1,0)</f>
        <v>1</v>
      </c>
      <c r="V67" s="31">
        <v>200</v>
      </c>
      <c r="W67" s="32">
        <f>F67*V67</f>
        <v>14000</v>
      </c>
      <c r="X67" s="31">
        <v>4</v>
      </c>
      <c r="Y67" s="41">
        <f>AV66</f>
        <v>60</v>
      </c>
      <c r="Z67" s="31" t="s">
        <v>178</v>
      </c>
      <c r="AA67" s="41">
        <f>60*60*24*25</f>
        <v>2160000</v>
      </c>
      <c r="AB67" s="32" t="str">
        <f>IF(AA67&lt;60,"1",IF(AA67&lt;=43200,"2",IF(AA67&lt;=777600,"3","4")))</f>
        <v>4</v>
      </c>
      <c r="AC67" s="28">
        <f>AVERAGE(AV66:DA66)</f>
        <v>712815</v>
      </c>
      <c r="AD67" s="32" t="str">
        <f>IF(AC67&lt;60,"1",IF(AC67&lt;=43200,"2",IF(AC67&lt;=777600,"3","4")))</f>
        <v>3</v>
      </c>
      <c r="AE67" s="41">
        <f>AA67-Y67</f>
        <v>2159940</v>
      </c>
      <c r="AF67" s="45">
        <f>AV67</f>
        <v>1.0567142857142855</v>
      </c>
      <c r="AG67" s="28">
        <f>((AW67-AV67)+(AX67-AW67)+(AY67-AX67))/3</f>
        <v>-0.22050476190476184</v>
      </c>
      <c r="AH67" s="4"/>
      <c r="AI67" s="28">
        <f>RSQ(AV67:AY67,AV66:AY66)</f>
        <v>0.65078364425608459</v>
      </c>
      <c r="AJ67" s="51">
        <f>SLOPE(AV67:AY67,AV66:AY66)</f>
        <v>-2.333307644981544E-7</v>
      </c>
      <c r="AK67" s="28">
        <f>INTERCEPT(AV67:AY67,AV66:AY66)</f>
        <v>0.84500381175289474</v>
      </c>
      <c r="AL67" s="28">
        <f>INDEX(LINEST(LN(AV67:AY67),LN(AV66:AY66),TRUE,TRUE),3,1)</f>
        <v>0.87551963813168232</v>
      </c>
      <c r="AM67" s="28">
        <f>INDEX(LINEST(LN(AV67:AY67),LN(AV66:AY66)),1)</f>
        <v>-8.5151640058379441E-2</v>
      </c>
      <c r="AN67" s="28">
        <f>EXP(INDEX(LINEST(LN(AV67:AY67),LN(AV66:AY66)),1,2))</f>
        <v>1.5956187857178696</v>
      </c>
      <c r="AO67" s="47">
        <f>INDEX(LINEST((AV67:AY67),LN(AV66:AY66),TRUE,TRUE),3,1)</f>
        <v>0.94855092327592949</v>
      </c>
      <c r="AP67" s="47">
        <f>INDEX(LINEST((AV67:AY67),LN(AV66:AY66)),1)</f>
        <v>-6.0156739431794129E-2</v>
      </c>
      <c r="AQ67" s="48">
        <f>INDEX(LINEST(LN(AV67:AY67),SQRT(AV66:AY66),TRUE,TRUE),3,1)</f>
        <v>0.94483485152341551</v>
      </c>
      <c r="AR67" s="56">
        <f>INDEX(LINEST(LN(AV67:AY67),SQRT((AV66:AY66))),1)</f>
        <v>-6.4844328683771023E-4</v>
      </c>
      <c r="AS67" s="49">
        <f>INDEX(LINEST(1/(AV67:AY67),1/(SQRT(AV66:AY66)),TRUE,TRUE),3,1)</f>
        <v>0.52845354283315671</v>
      </c>
      <c r="AT67" s="49">
        <f>INDEX(LINEST(1/(AV67:AY67),1/SQRT(AV66:AY66)),1)</f>
        <v>-7.8686122315290117</v>
      </c>
      <c r="AU67" s="3"/>
      <c r="AV67" s="7">
        <v>1.0567142857142855</v>
      </c>
      <c r="AW67" s="7">
        <v>0.7404285714285711</v>
      </c>
      <c r="AX67" s="7">
        <v>0.52238571428571423</v>
      </c>
      <c r="AY67" s="7">
        <v>0.3952</v>
      </c>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11"/>
      <c r="CS67" s="11"/>
      <c r="CT67" s="11"/>
      <c r="CU67" s="11"/>
    </row>
    <row r="68" spans="1:99" ht="12" customHeight="1" x14ac:dyDescent="0.2">
      <c r="A68" s="37">
        <v>43979</v>
      </c>
      <c r="B68" s="11"/>
      <c r="C68" s="11"/>
      <c r="D68" s="31"/>
      <c r="E68" s="40"/>
      <c r="F68" s="31"/>
      <c r="G68" s="31"/>
      <c r="H68" s="31"/>
      <c r="I68" s="31"/>
      <c r="J68" s="31"/>
      <c r="K68" s="32"/>
      <c r="L68" s="32"/>
      <c r="M68" s="31"/>
      <c r="N68" s="31"/>
      <c r="O68" s="31"/>
      <c r="P68" s="31"/>
      <c r="Q68" s="31"/>
      <c r="R68" s="32"/>
      <c r="S68" s="32"/>
      <c r="T68" s="31"/>
      <c r="U68" s="32"/>
      <c r="V68" s="31"/>
      <c r="W68" s="32"/>
      <c r="X68" s="31"/>
      <c r="Y68" s="41"/>
      <c r="Z68" s="31"/>
      <c r="AA68" s="31"/>
      <c r="AB68" s="32"/>
      <c r="AC68" s="28"/>
      <c r="AD68" s="32"/>
      <c r="AE68" s="41"/>
      <c r="AF68" s="45"/>
      <c r="AG68" s="28"/>
      <c r="AH68" s="4"/>
      <c r="AI68" s="28"/>
      <c r="AJ68" s="51"/>
      <c r="AK68" s="28"/>
      <c r="AL68" s="28"/>
      <c r="AM68" s="28"/>
      <c r="AN68" s="28"/>
      <c r="AO68" s="47"/>
      <c r="AP68" s="47"/>
      <c r="AQ68" s="48"/>
      <c r="AR68" s="56"/>
      <c r="AS68" s="49"/>
      <c r="AT68" s="49"/>
      <c r="AU68" s="3"/>
      <c r="AV68" s="24">
        <v>60</v>
      </c>
      <c r="AW68" s="24">
        <f>60*60*24</f>
        <v>86400</v>
      </c>
      <c r="AX68" s="24">
        <f>60*60*24*7</f>
        <v>604800</v>
      </c>
      <c r="AY68" s="24">
        <f>60*60*24*25</f>
        <v>2160000</v>
      </c>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11"/>
      <c r="CS68" s="11"/>
      <c r="CT68" s="11"/>
      <c r="CU68" s="11"/>
    </row>
    <row r="69" spans="1:99" ht="12" customHeight="1" x14ac:dyDescent="0.2">
      <c r="A69" s="37">
        <v>43979</v>
      </c>
      <c r="B69" s="11" t="s">
        <v>175</v>
      </c>
      <c r="C69" s="11" t="s">
        <v>34</v>
      </c>
      <c r="D69" s="31">
        <v>2020</v>
      </c>
      <c r="E69" s="40">
        <v>2</v>
      </c>
      <c r="F69" s="31">
        <v>70</v>
      </c>
      <c r="G69" s="31">
        <v>70</v>
      </c>
      <c r="H69" s="31" t="s">
        <v>176</v>
      </c>
      <c r="I69" s="31" t="s">
        <v>151</v>
      </c>
      <c r="J69" s="31" t="s">
        <v>82</v>
      </c>
      <c r="K69" s="32">
        <f>IF(J69="syllables",1,IF(J69="trigrams",2,IF(J69="strings",3,IF(J69="visual array",4,IF(J69="characters",5,IF(J69="letters",6,IF(J69="free forms",7,IF(J69="odors",8,IF(J69="words",9,IF(J69="pictures",10,IF(J69="object pictures",11,IF(J69="faces",12,IF(J69="names",13,IF(J69="idioms",14,IF(J69="grades",15,IF(J69="syllable-digit pairs",16,IF(J69="trigram-word pairs",17,IF(J69="word-digit pairs",18,IF(J69="English-Swahili pairs",19,IF(J69="spatial position",20,IF(J69="word pairs",21,IF(J69="word triads",22,IF(J69="generated words",23,IF(J69="word definition pairs",24,IF(J69="math problems",25,IF(J69="famous faces",26,IF(J69="famous names",27,IF(J69="famous voices",28,IF(J69="television programs",29,IF(J69="race horses",30,IF(J69="new vocabulary",31,IF(J69="sentences",32,IF(J69="concepts",33,IF(J69="ad slides",34,IF(J69="scenes",35,IF(J69="famous scenes",36,IF(J69="poems",37,IF(J69="walk",38,IF(J69="faces and events",39,IF(J69="events and names",40,IF(J69="flashbulb",41,IF(J69="stories",42,IF(J69="course material",43,IF(J69="autobiographical",44,IF(J69="novels",45,IF(J69="public events",46,"99"))))))))))))))))))))))))))))))))))))))))))))))</f>
        <v>10</v>
      </c>
      <c r="L69" s="32">
        <f>IF(J69="syllables",1,IF(J69="trigrams",1,IF(J69="strings",1,IF(J69="visual array",1,IF(J69="characters",1,IF(J69="letters",1,IF(J69="free forms",1,IF(J69="odors",2,IF(J69="words",2,IF(J69="pictures",2,IF(J69="object pictures",2,IF(J69="faces",2,IF(J69="names",2,IF(J69="idioms","2",IF(J69="grades",2,IF(J69="syllable-digit pairs",3,IF(J69="trigram-word pairs",3,IF(J69="word-digit pairs",3,IF(J69="English-Swahili pairs",3,IF(J69="spatial position",3,IF(J69="word pairs",4,IF(J69="word triads",4,IF(J69="generated words",4,IF(J69="word definition pairs",4,IF(J69="math problems",4,IF(J69="famous faces",4,IF(J69="famous names",4,IF(J69="famous voices",4,IF(J69="television programs",4,IF(J69="race horses",4,IF(J69="new vocabulary",4,IF(J69="sentences",5,IF(J69="concepts",5,IF(J69="ad slides",5,IF(J69="scenes",5,IF(J69="famous scenes",5,IF(J69="poems",6,IF(J69="walk",6,IF(J69="faces and events",6,IF(J69="events and names",6,IF(J69="flashbulb",7,IF(J69="stories",7,IF(J69="course material",7,IF(J69="autobiographical",7,IF(J69="novels",7,IF(J69="public events",7,"99"))))))))))))))))))))))))))))))))))))))))))))))</f>
        <v>2</v>
      </c>
      <c r="M69" s="31">
        <v>1</v>
      </c>
      <c r="N69" s="31">
        <v>2</v>
      </c>
      <c r="O69" s="31">
        <v>0</v>
      </c>
      <c r="P69" s="31"/>
      <c r="Q69" s="31" t="s">
        <v>18</v>
      </c>
      <c r="R69" s="32">
        <f>IF(Q69="Free Recall",1,IF(Q69="Cued Recall",2,IF(Q69="Recognition",3,IF(Q69="Multiple Choice",4,IF(Q69="Savings",5,IF(Q69="Stem Completion",6,IF(Q69="Fragment Completion",7,IF(Q69="anagram solution",8,IF(Q69="Matching",9,IF(Q69="Problem Solving",10,"99"))))))))))</f>
        <v>3</v>
      </c>
      <c r="S69" s="77" t="s">
        <v>196</v>
      </c>
      <c r="T69" s="31" t="s">
        <v>132</v>
      </c>
      <c r="U69" s="32">
        <f>IF(T69="within",1,0)</f>
        <v>1</v>
      </c>
      <c r="V69" s="31">
        <v>200</v>
      </c>
      <c r="W69" s="32">
        <f>F69*V69</f>
        <v>14000</v>
      </c>
      <c r="X69" s="31">
        <v>4</v>
      </c>
      <c r="Y69" s="41">
        <f>AV68</f>
        <v>60</v>
      </c>
      <c r="Z69" s="31" t="s">
        <v>178</v>
      </c>
      <c r="AA69" s="41">
        <f>60*60*24*25</f>
        <v>2160000</v>
      </c>
      <c r="AB69" s="32" t="str">
        <f>IF(AA69&lt;60,"1",IF(AA69&lt;=43200,"2",IF(AA69&lt;=777600,"3","4")))</f>
        <v>4</v>
      </c>
      <c r="AC69" s="28">
        <f>AVERAGE(AV68:DA68)</f>
        <v>712815</v>
      </c>
      <c r="AD69" s="32" t="str">
        <f>IF(AC69&lt;60,"1",IF(AC69&lt;=43200,"2",IF(AC69&lt;=777600,"3","4")))</f>
        <v>3</v>
      </c>
      <c r="AE69" s="41">
        <f>AA69-Y69</f>
        <v>2159940</v>
      </c>
      <c r="AF69" s="45">
        <f>AV69</f>
        <v>1.4949285714285712</v>
      </c>
      <c r="AG69" s="28">
        <f>((AW69-AV69)+(AX69-AW69)+(AY69-AX69))/3</f>
        <v>-0.2670142857142857</v>
      </c>
      <c r="AH69" s="4"/>
      <c r="AI69" s="28">
        <f>RSQ(AV69:AY69,AV68:AY68)</f>
        <v>0.7091241467752214</v>
      </c>
      <c r="AJ69" s="51">
        <f>SLOPE(AV69:AY69,AV68:AY68)</f>
        <v>-2.810732491267346E-7</v>
      </c>
      <c r="AK69" s="28">
        <f>INTERCEPT(AV69:AY69,AV68:AY68)</f>
        <v>1.2578675137905591</v>
      </c>
      <c r="AL69" s="28">
        <f>INDEX(LINEST(LN(AV69:AY69),LN(AV68:AY68),TRUE,TRUE),3,1)</f>
        <v>0.86324918829267672</v>
      </c>
      <c r="AM69" s="28">
        <f>INDEX(LINEST(LN(AV69:AY69),LN(AV68:AY68)),1)</f>
        <v>-6.2977119613244162E-2</v>
      </c>
      <c r="AN69" s="28">
        <f>EXP(INDEX(LINEST(LN(AV69:AY69),LN(AV68:AY68)),1,2))</f>
        <v>2.0157348806951489</v>
      </c>
      <c r="AO69" s="47">
        <f>INDEX(LINEST((AV69:AY69),LN(AV68:AY68),TRUE,TRUE),3,1)</f>
        <v>0.93813845794262274</v>
      </c>
      <c r="AP69" s="47">
        <f>INDEX(LINEST((AV69:AY69),LN(AV68:AY68)),1)</f>
        <v>-6.9038623065351842E-2</v>
      </c>
      <c r="AQ69" s="48">
        <f>INDEX(LINEST(LN(AV69:AY69),SQRT(AV68:AY68),TRUE,TRUE),3,1)</f>
        <v>0.94404087783783586</v>
      </c>
      <c r="AR69" s="56">
        <f>INDEX(LINEST(LN(AV69:AY69),SQRT((AV68:AY68))),1)</f>
        <v>-4.8277422930036618E-4</v>
      </c>
      <c r="AS69" s="49">
        <f>INDEX(LINEST(1/(AV69:AY69),1/(SQRT(AV68:AY68)),TRUE,TRUE),3,1)</f>
        <v>0.5413754161459079</v>
      </c>
      <c r="AT69" s="49">
        <f>INDEX(LINEST(1/(AV69:AY69),1/SQRT(AV68:AY68)),1)</f>
        <v>-3.7227239869528219</v>
      </c>
      <c r="AU69" s="3"/>
      <c r="AV69" s="7">
        <v>1.4949285714285712</v>
      </c>
      <c r="AW69" s="7">
        <v>1.0864285714285713</v>
      </c>
      <c r="AX69" s="7">
        <v>0.9548142857142855</v>
      </c>
      <c r="AY69" s="7">
        <v>0.69388571428571411</v>
      </c>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11"/>
      <c r="CS69" s="11"/>
      <c r="CT69" s="11"/>
      <c r="CU69" s="11"/>
    </row>
    <row r="70" spans="1:99" s="9" customFormat="1" ht="12" customHeight="1" x14ac:dyDescent="0.2">
      <c r="A70" s="37">
        <v>43899</v>
      </c>
      <c r="B70" s="1"/>
      <c r="C70" s="1"/>
      <c r="D70" s="32"/>
      <c r="E70" s="41"/>
      <c r="F70" s="32"/>
      <c r="G70" s="32"/>
      <c r="H70" s="32"/>
      <c r="I70" s="32"/>
      <c r="J70" s="32"/>
      <c r="K70" s="36"/>
      <c r="L70" s="36"/>
      <c r="M70" s="32"/>
      <c r="N70" s="32"/>
      <c r="O70" s="32"/>
      <c r="P70" s="32"/>
      <c r="Q70" s="32"/>
      <c r="R70" s="32"/>
      <c r="S70" s="32"/>
      <c r="T70" s="32"/>
      <c r="U70" s="32"/>
      <c r="V70" s="32"/>
      <c r="W70" s="32"/>
      <c r="X70" s="32"/>
      <c r="Y70" s="41"/>
      <c r="Z70" s="32"/>
      <c r="AA70" s="32"/>
      <c r="AB70" s="32"/>
      <c r="AC70" s="28"/>
      <c r="AD70" s="32"/>
      <c r="AE70" s="32"/>
      <c r="AF70" s="45"/>
      <c r="AG70" s="28"/>
      <c r="AH70" s="4"/>
      <c r="AI70" s="28"/>
      <c r="AJ70" s="51"/>
      <c r="AK70" s="28"/>
      <c r="AL70" s="28"/>
      <c r="AM70" s="28"/>
      <c r="AN70" s="28"/>
      <c r="AO70" s="47"/>
      <c r="AP70" s="47"/>
      <c r="AQ70" s="48"/>
      <c r="AR70" s="56"/>
      <c r="AS70" s="49"/>
      <c r="AT70" s="49"/>
      <c r="AU70" s="3"/>
      <c r="AV70" s="18">
        <f>30*60</f>
        <v>1800</v>
      </c>
      <c r="AW70" s="18">
        <f>60*60*24*2</f>
        <v>172800</v>
      </c>
      <c r="AX70" s="18">
        <f>60*60*24*7</f>
        <v>604800</v>
      </c>
      <c r="AY70" s="18">
        <f>60*60*24*21</f>
        <v>1814400</v>
      </c>
      <c r="AZ70" s="25"/>
      <c r="BA70" s="25"/>
      <c r="BB70" s="25"/>
      <c r="BC70" s="25"/>
      <c r="BD70" s="25"/>
      <c r="BE70" s="25"/>
      <c r="BF70" s="25"/>
      <c r="BG70" s="25"/>
      <c r="BH70" s="25"/>
      <c r="BI70" s="25"/>
      <c r="BJ70" s="25"/>
      <c r="BK70" s="25"/>
      <c r="BL70" s="19"/>
      <c r="BM70" s="19"/>
      <c r="BN70" s="19"/>
      <c r="BO70" s="19"/>
      <c r="BP70" s="19"/>
      <c r="BQ70" s="19"/>
      <c r="BR70" s="19"/>
      <c r="BS70" s="19"/>
      <c r="BT70" s="19"/>
      <c r="BU70" s="19"/>
      <c r="BV70" s="19"/>
      <c r="BW70" s="19"/>
      <c r="BX70" s="19"/>
      <c r="BY70" s="19"/>
      <c r="BZ70" s="19"/>
      <c r="CA70" s="19"/>
      <c r="CB70" s="19"/>
      <c r="CC70" s="19"/>
      <c r="CD70" s="19"/>
      <c r="CE70" s="19"/>
      <c r="CF70" s="19"/>
      <c r="CG70" s="19"/>
      <c r="CH70" s="19"/>
      <c r="CI70" s="19"/>
      <c r="CJ70" s="19"/>
      <c r="CK70" s="19"/>
      <c r="CL70" s="19"/>
      <c r="CM70" s="19"/>
      <c r="CN70" s="19"/>
      <c r="CO70" s="19"/>
      <c r="CP70" s="19"/>
      <c r="CQ70" s="19"/>
      <c r="CR70" s="1"/>
      <c r="CS70" s="1"/>
      <c r="CT70" s="1"/>
      <c r="CU70" s="1"/>
    </row>
    <row r="71" spans="1:99" s="9" customFormat="1" ht="12" customHeight="1" x14ac:dyDescent="0.25">
      <c r="A71" s="37">
        <v>43899</v>
      </c>
      <c r="B71" s="1" t="s">
        <v>97</v>
      </c>
      <c r="C71" s="1" t="s">
        <v>98</v>
      </c>
      <c r="D71" s="32">
        <v>1981</v>
      </c>
      <c r="E71" s="41">
        <v>1</v>
      </c>
      <c r="F71" s="32">
        <v>48</v>
      </c>
      <c r="G71" s="32">
        <v>48</v>
      </c>
      <c r="H71" s="32" t="s">
        <v>14</v>
      </c>
      <c r="I71" s="32" t="s">
        <v>99</v>
      </c>
      <c r="J71" s="32" t="s">
        <v>134</v>
      </c>
      <c r="K71" s="32">
        <f>IF(J71="syllables",1,IF(J71="trigrams",2,IF(J71="strings",3,IF(J71="visual array",4,IF(J71="characters",5,IF(J71="letters",6,IF(J71="free forms",7,IF(J71="odors",8,IF(J71="words",9,IF(J71="pictures",10,IF(J71="object pictures",11,IF(J71="faces",12,IF(J71="names",13,IF(J71="idioms",14,IF(J71="grades",15,IF(J71="syllable-digit pairs",16,IF(J71="trigram-word pairs",17,IF(J71="word-digit pairs",18,IF(J71="English-Swahili pairs",19,IF(J71="spatial position",20,IF(J71="word pairs",21,IF(J71="word triads",22,IF(J71="generated words",23,IF(J71="word definition pairs",24,IF(J71="math problems",25,IF(J71="famous faces",26,IF(J71="famous names",27,IF(J71="famous voices",28,IF(J71="television programs",29,IF(J71="race horses",30,IF(J71="new vocabulary",31,IF(J71="sentences",32,IF(J71="concepts",33,IF(J71="ad slides",34,IF(J71="scenes",35,IF(J71="famous scenes",36,IF(J71="poems",37,IF(J71="walk",38,IF(J71="faces and events",39,IF(J71="events and names",40,IF(J71="flashbulb",41,IF(J71="stories",42,IF(J71="course material",43,IF(J71="autobiographical",44,IF(J71="novels",45,IF(J71="public events",46,"99"))))))))))))))))))))))))))))))))))))))))))))))</f>
        <v>42</v>
      </c>
      <c r="L71" s="32">
        <f>IF(J71="syllables",1,IF(J71="trigrams",1,IF(J71="strings",1,IF(J71="visual array",1,IF(J71="characters",1,IF(J71="letters",1,IF(J71="free forms",1,IF(J71="odors",2,IF(J71="words",2,IF(J71="pictures",2,IF(J71="object pictures",2,IF(J71="faces",2,IF(J71="names",2,IF(J71="idioms","2",IF(J71="grades",2,IF(J71="syllable-digit pairs",3,IF(J71="trigram-word pairs",3,IF(J71="word-digit pairs",3,IF(J71="English-Swahili pairs",3,IF(J71="spatial position",3,IF(J71="word pairs",4,IF(J71="word triads",4,IF(J71="generated words",4,IF(J71="word definition pairs",4,IF(J71="math problems",4,IF(J71="famous faces",4,IF(J71="famous names",4,IF(J71="famous voices",4,IF(J71="television programs",4,IF(J71="race horses",4,IF(J71="new vocabulary",4,IF(J71="sentences",5,IF(J71="concepts",5,IF(J71="ad slides",5,IF(J71="scenes",5,IF(J71="famous scenes",5,IF(J71="poems",6,IF(J71="walk",6,IF(J71="faces and events",6,IF(J71="events and names",6,IF(J71="flashbulb",7,IF(J71="stories",7,IF(J71="course material",7,IF(J71="autobiographical",7,IF(J71="novels",7,IF(J71="public events",7,"99"))))))))))))))))))))))))))))))))))))))))))))))</f>
        <v>7</v>
      </c>
      <c r="M71" s="32">
        <v>0</v>
      </c>
      <c r="N71" s="32">
        <v>3</v>
      </c>
      <c r="O71" s="32">
        <v>0</v>
      </c>
      <c r="P71" s="32"/>
      <c r="Q71" s="32" t="s">
        <v>18</v>
      </c>
      <c r="R71" s="32">
        <f>IF(Q71="Free Recall",1,IF(Q71="Cued Recall",2,IF(Q71="Recognition",3,IF(Q71="Multiple Choice",4,IF(Q71="Savings",5,IF(Q71="Stem Completion",6,IF(Q71="Fragment Completion",7,IF(Q71="anagram solution",8,IF(Q71="Matching",9,IF(Q71="Problem Solving",10,"99"))))))))))</f>
        <v>3</v>
      </c>
      <c r="S71" s="31" t="s">
        <v>196</v>
      </c>
      <c r="T71" s="31" t="s">
        <v>132</v>
      </c>
      <c r="U71" s="32">
        <f>IF(T71="within",1,0)</f>
        <v>1</v>
      </c>
      <c r="V71" s="31">
        <v>64</v>
      </c>
      <c r="W71" s="32">
        <f>F71*V71</f>
        <v>3072</v>
      </c>
      <c r="X71" s="32">
        <v>4</v>
      </c>
      <c r="Y71" s="41">
        <f>AV70</f>
        <v>1800</v>
      </c>
      <c r="Z71" s="32" t="s">
        <v>56</v>
      </c>
      <c r="AA71" s="32">
        <v>1814400</v>
      </c>
      <c r="AB71" s="32" t="str">
        <f>IF(AA71&lt;60,"1",IF(AA71&lt;=43200,"2",IF(AA71&lt;=777600,"3","4")))</f>
        <v>4</v>
      </c>
      <c r="AC71" s="28">
        <f>AVERAGE(AV70:DA70)</f>
        <v>648450</v>
      </c>
      <c r="AD71" s="32" t="str">
        <f>IF(AC71&lt;60,"1",IF(AC71&lt;=43200,"2",IF(AC71&lt;=777600,"3","4")))</f>
        <v>3</v>
      </c>
      <c r="AE71" s="41">
        <f>AA71-Y71</f>
        <v>1812600</v>
      </c>
      <c r="AF71" s="45">
        <f>AV71</f>
        <v>0.621</v>
      </c>
      <c r="AG71" s="28">
        <f>((AW71-AV71)+(AX71-AW71)+(AY71-AX71))/3</f>
        <v>-0.18000000000000002</v>
      </c>
      <c r="AH71" s="4"/>
      <c r="AI71" s="28">
        <f>RSQ(AV71:AY71,AV70:AY70)</f>
        <v>0.88567792862589612</v>
      </c>
      <c r="AJ71" s="51">
        <f>SLOPE(AV71:AY71,AV70:AY70)</f>
        <v>-3.0460858394646368E-7</v>
      </c>
      <c r="AK71" s="28">
        <f>INTERCEPT(AV71:AY71,AV70:AY70)</f>
        <v>0.59652343626008442</v>
      </c>
      <c r="AL71" s="28">
        <f>INDEX(LINEST(LN(AV71:AY71),LN(AV70:AY70),TRUE,TRUE),3,1)</f>
        <v>0.5472335725809494</v>
      </c>
      <c r="AM71" s="28">
        <f>INDEX(LINEST(LN(AV71:AY71),LN(AV70:AY70)),1)</f>
        <v>-0.23339505230936583</v>
      </c>
      <c r="AN71" s="28">
        <f>EXP(INDEX(LINEST(LN(AV71:AY71),LN(AV70:AY70)),1,2))</f>
        <v>4.8141587072568353</v>
      </c>
      <c r="AO71" s="47">
        <f>INDEX(LINEST((AV71:AY71),LN(AV70:AY70),TRUE,TRUE),3,1)</f>
        <v>0.62598107301864514</v>
      </c>
      <c r="AP71" s="47">
        <f>INDEX(LINEST((AV71:AY71),LN(AV70:AY70)),1)</f>
        <v>-6.8908632532575426E-2</v>
      </c>
      <c r="AQ71" s="48">
        <f>INDEX(LINEST(LN(AV71:AY71),SQRT(AV70:AY70),TRUE,TRUE),3,1)</f>
        <v>0.91686111498518119</v>
      </c>
      <c r="AR71" s="56">
        <f>INDEX(LINEST(LN(AV71:AY71),SQRT((AV70:AY70))),1)</f>
        <v>-1.65227211970749E-3</v>
      </c>
      <c r="AS71" s="49">
        <f>INDEX(LINEST(1/(AV71:AY71),1/(SQRT(AV70:AY70)),TRUE,TRUE),3,1)</f>
        <v>0.21266075324897332</v>
      </c>
      <c r="AT71" s="49">
        <f>INDEX(LINEST(1/(AV71:AY71),1/SQRT(AV70:AY70)),1)</f>
        <v>-213.39604644660105</v>
      </c>
      <c r="AU71" s="3"/>
      <c r="AV71" s="25">
        <v>0.621</v>
      </c>
      <c r="AW71" s="25">
        <v>0.61299999999999999</v>
      </c>
      <c r="AX71" s="25">
        <v>0.28100000000000003</v>
      </c>
      <c r="AY71" s="25">
        <v>8.1000000000000003E-2</v>
      </c>
      <c r="AZ71" s="25"/>
      <c r="BA71" s="57"/>
      <c r="BB71" s="57"/>
      <c r="BC71" s="109"/>
      <c r="BD71" s="109"/>
      <c r="BE71" s="25"/>
      <c r="BF71" s="25"/>
      <c r="BG71" s="25"/>
      <c r="BH71" s="25"/>
      <c r="BI71" s="25"/>
      <c r="BJ71" s="25"/>
      <c r="BK71" s="25"/>
      <c r="BL71" s="19"/>
      <c r="BM71" s="19"/>
      <c r="BN71" s="19"/>
      <c r="BO71" s="19"/>
      <c r="BP71" s="19"/>
      <c r="BQ71" s="19"/>
      <c r="BR71" s="19"/>
      <c r="BS71" s="19"/>
      <c r="BT71" s="19"/>
      <c r="BU71" s="19"/>
      <c r="BV71" s="19"/>
      <c r="BW71" s="19"/>
      <c r="BX71" s="19"/>
      <c r="BY71" s="19"/>
      <c r="BZ71" s="19"/>
      <c r="CA71" s="19"/>
      <c r="CB71" s="19"/>
      <c r="CC71" s="19"/>
      <c r="CD71" s="19"/>
      <c r="CE71" s="19"/>
      <c r="CF71" s="19"/>
      <c r="CG71" s="19"/>
      <c r="CH71" s="19"/>
      <c r="CI71" s="19"/>
      <c r="CJ71" s="19"/>
      <c r="CK71" s="19"/>
      <c r="CL71" s="19"/>
      <c r="CM71" s="19"/>
      <c r="CN71" s="19"/>
      <c r="CO71" s="19"/>
      <c r="CP71" s="19"/>
      <c r="CQ71" s="19"/>
      <c r="CR71" s="1"/>
      <c r="CS71" s="1"/>
      <c r="CT71" s="1"/>
      <c r="CU71" s="1"/>
    </row>
    <row r="72" spans="1:99" s="9" customFormat="1" ht="12" customHeight="1" x14ac:dyDescent="0.2">
      <c r="A72" s="37">
        <v>43899</v>
      </c>
      <c r="B72" s="1"/>
      <c r="C72" s="1"/>
      <c r="D72" s="32"/>
      <c r="E72" s="41"/>
      <c r="F72" s="32"/>
      <c r="G72" s="32"/>
      <c r="H72" s="32"/>
      <c r="I72" s="32"/>
      <c r="J72" s="32"/>
      <c r="K72" s="36"/>
      <c r="L72" s="36"/>
      <c r="M72" s="32"/>
      <c r="N72" s="32"/>
      <c r="O72" s="32"/>
      <c r="P72" s="32"/>
      <c r="Q72" s="32"/>
      <c r="R72" s="32"/>
      <c r="S72" s="32"/>
      <c r="T72" s="32"/>
      <c r="U72" s="32"/>
      <c r="V72" s="32"/>
      <c r="W72" s="32"/>
      <c r="X72" s="32"/>
      <c r="Y72" s="41"/>
      <c r="Z72" s="32"/>
      <c r="AA72" s="32"/>
      <c r="AB72" s="32"/>
      <c r="AC72" s="28"/>
      <c r="AD72" s="32"/>
      <c r="AE72" s="32"/>
      <c r="AF72" s="45"/>
      <c r="AG72" s="28"/>
      <c r="AH72" s="4"/>
      <c r="AI72" s="28"/>
      <c r="AJ72" s="51"/>
      <c r="AK72" s="28"/>
      <c r="AL72" s="28"/>
      <c r="AM72" s="28"/>
      <c r="AN72" s="28"/>
      <c r="AO72" s="47"/>
      <c r="AP72" s="47"/>
      <c r="AQ72" s="48"/>
      <c r="AR72" s="56"/>
      <c r="AS72" s="49"/>
      <c r="AT72" s="49"/>
      <c r="AU72" s="3"/>
      <c r="AV72" s="18">
        <f>30*60</f>
        <v>1800</v>
      </c>
      <c r="AW72" s="18">
        <f>60*60*24*2</f>
        <v>172800</v>
      </c>
      <c r="AX72" s="18">
        <f>60*60*24*7</f>
        <v>604800</v>
      </c>
      <c r="AY72" s="18">
        <f>60*60*24*21</f>
        <v>1814400</v>
      </c>
      <c r="AZ72" s="25"/>
      <c r="BA72" s="25"/>
      <c r="BB72" s="25"/>
      <c r="BC72" s="25"/>
      <c r="BD72" s="25"/>
      <c r="BE72" s="25"/>
      <c r="BF72" s="25"/>
      <c r="BG72" s="25"/>
      <c r="BH72" s="25"/>
      <c r="BI72" s="25"/>
      <c r="BJ72" s="25"/>
      <c r="BK72" s="25"/>
      <c r="BL72" s="19"/>
      <c r="BM72" s="19"/>
      <c r="BN72" s="19"/>
      <c r="BO72" s="19"/>
      <c r="BP72" s="19"/>
      <c r="BQ72" s="19"/>
      <c r="BR72" s="19"/>
      <c r="BS72" s="19"/>
      <c r="BT72" s="19"/>
      <c r="BU72" s="19"/>
      <c r="BV72" s="19"/>
      <c r="BW72" s="19"/>
      <c r="BX72" s="19"/>
      <c r="BY72" s="19"/>
      <c r="BZ72" s="19"/>
      <c r="CA72" s="19"/>
      <c r="CB72" s="19"/>
      <c r="CC72" s="19"/>
      <c r="CD72" s="19"/>
      <c r="CE72" s="19"/>
      <c r="CF72" s="19"/>
      <c r="CG72" s="19"/>
      <c r="CH72" s="19"/>
      <c r="CI72" s="19"/>
      <c r="CJ72" s="19"/>
      <c r="CK72" s="19"/>
      <c r="CL72" s="19"/>
      <c r="CM72" s="19"/>
      <c r="CN72" s="19"/>
      <c r="CO72" s="19"/>
      <c r="CP72" s="19"/>
      <c r="CQ72" s="19"/>
      <c r="CR72" s="1"/>
      <c r="CS72" s="1"/>
      <c r="CT72" s="1"/>
      <c r="CU72" s="1"/>
    </row>
    <row r="73" spans="1:99" s="9" customFormat="1" ht="12" customHeight="1" x14ac:dyDescent="0.25">
      <c r="A73" s="37">
        <v>43899</v>
      </c>
      <c r="B73" s="1" t="s">
        <v>97</v>
      </c>
      <c r="C73" s="1" t="s">
        <v>98</v>
      </c>
      <c r="D73" s="32">
        <v>1981</v>
      </c>
      <c r="E73" s="41">
        <v>1</v>
      </c>
      <c r="F73" s="32">
        <v>48</v>
      </c>
      <c r="G73" s="32">
        <v>48</v>
      </c>
      <c r="H73" s="32" t="s">
        <v>14</v>
      </c>
      <c r="I73" s="32" t="s">
        <v>100</v>
      </c>
      <c r="J73" s="32" t="s">
        <v>134</v>
      </c>
      <c r="K73" s="32">
        <f>IF(J73="syllables",1,IF(J73="trigrams",2,IF(J73="strings",3,IF(J73="visual array",4,IF(J73="characters",5,IF(J73="letters",6,IF(J73="free forms",7,IF(J73="odors",8,IF(J73="words",9,IF(J73="pictures",10,IF(J73="object pictures",11,IF(J73="faces",12,IF(J73="names",13,IF(J73="idioms",14,IF(J73="grades",15,IF(J73="syllable-digit pairs",16,IF(J73="trigram-word pairs",17,IF(J73="word-digit pairs",18,IF(J73="English-Swahili pairs",19,IF(J73="spatial position",20,IF(J73="word pairs",21,IF(J73="word triads",22,IF(J73="generated words",23,IF(J73="word definition pairs",24,IF(J73="math problems",25,IF(J73="famous faces",26,IF(J73="famous names",27,IF(J73="famous voices",28,IF(J73="television programs",29,IF(J73="race horses",30,IF(J73="new vocabulary",31,IF(J73="sentences",32,IF(J73="concepts",33,IF(J73="ad slides",34,IF(J73="scenes",35,IF(J73="famous scenes",36,IF(J73="poems",37,IF(J73="walk",38,IF(J73="faces and events",39,IF(J73="events and names",40,IF(J73="flashbulb",41,IF(J73="stories",42,IF(J73="course material",43,IF(J73="autobiographical",44,IF(J73="novels",45,IF(J73="public events",46,"99"))))))))))))))))))))))))))))))))))))))))))))))</f>
        <v>42</v>
      </c>
      <c r="L73" s="32">
        <f>IF(J73="syllables",1,IF(J73="trigrams",1,IF(J73="strings",1,IF(J73="visual array",1,IF(J73="characters",1,IF(J73="letters",1,IF(J73="free forms",1,IF(J73="odors",2,IF(J73="words",2,IF(J73="pictures",2,IF(J73="object pictures",2,IF(J73="faces",2,IF(J73="names",2,IF(J73="idioms","2",IF(J73="grades",2,IF(J73="syllable-digit pairs",3,IF(J73="trigram-word pairs",3,IF(J73="word-digit pairs",3,IF(J73="English-Swahili pairs",3,IF(J73="spatial position",3,IF(J73="word pairs",4,IF(J73="word triads",4,IF(J73="generated words",4,IF(J73="word definition pairs",4,IF(J73="math problems",4,IF(J73="famous faces",4,IF(J73="famous names",4,IF(J73="famous voices",4,IF(J73="television programs",4,IF(J73="race horses",4,IF(J73="new vocabulary",4,IF(J73="sentences",5,IF(J73="concepts",5,IF(J73="ad slides",5,IF(J73="scenes",5,IF(J73="famous scenes",5,IF(J73="poems",6,IF(J73="walk",6,IF(J73="faces and events",6,IF(J73="events and names",6,IF(J73="flashbulb",7,IF(J73="stories",7,IF(J73="course material",7,IF(J73="autobiographical",7,IF(J73="novels",7,IF(J73="public events",7,"99"))))))))))))))))))))))))))))))))))))))))))))))</f>
        <v>7</v>
      </c>
      <c r="M73" s="32">
        <v>0</v>
      </c>
      <c r="N73" s="32">
        <v>3</v>
      </c>
      <c r="O73" s="32">
        <v>0</v>
      </c>
      <c r="P73" s="32"/>
      <c r="Q73" s="32" t="s">
        <v>18</v>
      </c>
      <c r="R73" s="32">
        <f>IF(Q73="Free Recall",1,IF(Q73="Cued Recall",2,IF(Q73="Recognition",3,IF(Q73="Multiple Choice",4,IF(Q73="Savings",5,IF(Q73="Stem Completion",6,IF(Q73="Fragment Completion",7,IF(Q73="anagram solution",8,IF(Q73="Matching",9,IF(Q73="Problem Solving",10,"99"))))))))))</f>
        <v>3</v>
      </c>
      <c r="S73" s="31" t="s">
        <v>196</v>
      </c>
      <c r="T73" s="31" t="s">
        <v>132</v>
      </c>
      <c r="U73" s="32">
        <f>IF(T73="within",1,0)</f>
        <v>1</v>
      </c>
      <c r="V73" s="31">
        <v>64</v>
      </c>
      <c r="W73" s="32">
        <f>F73*V73</f>
        <v>3072</v>
      </c>
      <c r="X73" s="32">
        <v>4</v>
      </c>
      <c r="Y73" s="41">
        <f>AV72</f>
        <v>1800</v>
      </c>
      <c r="Z73" s="32" t="s">
        <v>56</v>
      </c>
      <c r="AA73" s="32">
        <v>1814400</v>
      </c>
      <c r="AB73" s="32" t="str">
        <f>IF(AA73&lt;60,"1",IF(AA73&lt;=43200,"2",IF(AA73&lt;=777600,"3","4")))</f>
        <v>4</v>
      </c>
      <c r="AC73" s="28">
        <f>AVERAGE(AV72:DA72)</f>
        <v>648450</v>
      </c>
      <c r="AD73" s="32" t="str">
        <f>IF(AC73&lt;60,"1",IF(AC73&lt;=43200,"2",IF(AC73&lt;=777600,"3","4")))</f>
        <v>3</v>
      </c>
      <c r="AE73" s="41">
        <f>AA73-Y73</f>
        <v>1812600</v>
      </c>
      <c r="AF73" s="45">
        <f>AV73</f>
        <v>1.619</v>
      </c>
      <c r="AG73" s="28">
        <f>((AW73-AV73)+(AX73-AW73)+(AY73-AX73))/3</f>
        <v>-0.35866666666666669</v>
      </c>
      <c r="AH73" s="4"/>
      <c r="AI73" s="28">
        <f>RSQ(AV73:AY73,AV72:AY72)</f>
        <v>0.77405323041174723</v>
      </c>
      <c r="AJ73" s="51">
        <f>SLOPE(AV73:AY73,AV72:AY72)</f>
        <v>-4.7367852606225331E-7</v>
      </c>
      <c r="AK73" s="28">
        <f>INTERCEPT(AV73:AY73,AV72:AY72)</f>
        <v>1.3631568402250682</v>
      </c>
      <c r="AL73" s="28">
        <f>INDEX(LINEST(LN(AV73:AY73),LN(AV72:AY72),TRUE,TRUE),3,1)</f>
        <v>0.77899535003621601</v>
      </c>
      <c r="AM73" s="28">
        <f>INDEX(LINEST(LN(AV73:AY73),LN(AV72:AY72)),1)</f>
        <v>-0.13051652649325521</v>
      </c>
      <c r="AN73" s="28">
        <f>EXP(INDEX(LINEST(LN(AV73:AY73),LN(AV72:AY72)),1,2))</f>
        <v>4.5985383070192345</v>
      </c>
      <c r="AO73" s="47">
        <f>INDEX(LINEST((AV73:AY73),LN(AV72:AY72),TRUE,TRUE),3,1)</f>
        <v>0.90123138000251513</v>
      </c>
      <c r="AP73" s="47">
        <f>INDEX(LINEST((AV73:AY73),LN(AV72:AY72)),1)</f>
        <v>-0.13753246890885878</v>
      </c>
      <c r="AQ73" s="48">
        <f>INDEX(LINEST(LN(AV73:AY73),SQRT(AV72:AY72),TRUE,TRUE),3,1)</f>
        <v>0.93079506348010388</v>
      </c>
      <c r="AR73" s="56">
        <f>INDEX(LINEST(LN(AV73:AY73),SQRT((AV72:AY72))),1)</f>
        <v>-7.802784796588965E-4</v>
      </c>
      <c r="AS73" s="49">
        <f>INDEX(LINEST(1/(AV73:AY73),1/(SQRT(AV72:AY72)),TRUE,TRUE),3,1)</f>
        <v>0.42514709343747298</v>
      </c>
      <c r="AT73" s="49">
        <f>INDEX(LINEST(1/(AV73:AY73),1/SQRT(AV72:AY72)),1)</f>
        <v>-30.734206867555379</v>
      </c>
      <c r="AU73" s="3"/>
      <c r="AV73" s="25">
        <v>1.619</v>
      </c>
      <c r="AW73" s="25">
        <v>1.0329999999999999</v>
      </c>
      <c r="AX73" s="25">
        <v>1.0289999999999999</v>
      </c>
      <c r="AY73" s="25">
        <v>0.54300000000000004</v>
      </c>
      <c r="AZ73" s="25"/>
      <c r="BA73" s="57"/>
      <c r="BB73" s="57"/>
      <c r="BC73" s="109"/>
      <c r="BD73" s="109"/>
      <c r="BE73" s="25"/>
      <c r="BF73" s="25"/>
      <c r="BG73" s="25"/>
      <c r="BH73" s="25"/>
      <c r="BI73" s="25"/>
      <c r="BJ73" s="25"/>
      <c r="BK73" s="25"/>
      <c r="BL73" s="19"/>
      <c r="BM73" s="19"/>
      <c r="BN73" s="19"/>
      <c r="BO73" s="19"/>
      <c r="BP73" s="19"/>
      <c r="BQ73" s="19"/>
      <c r="BR73" s="19"/>
      <c r="BS73" s="19"/>
      <c r="BT73" s="19"/>
      <c r="BU73" s="19"/>
      <c r="BV73" s="19"/>
      <c r="BW73" s="19"/>
      <c r="BX73" s="19"/>
      <c r="BY73" s="19"/>
      <c r="BZ73" s="19"/>
      <c r="CA73" s="19"/>
      <c r="CB73" s="19"/>
      <c r="CC73" s="19"/>
      <c r="CD73" s="19"/>
      <c r="CE73" s="19"/>
      <c r="CF73" s="19"/>
      <c r="CG73" s="19"/>
      <c r="CH73" s="19"/>
      <c r="CI73" s="19"/>
      <c r="CJ73" s="19"/>
      <c r="CK73" s="19"/>
      <c r="CL73" s="19"/>
      <c r="CM73" s="19"/>
      <c r="CN73" s="19"/>
      <c r="CO73" s="19"/>
      <c r="CP73" s="19"/>
      <c r="CQ73" s="19"/>
      <c r="CR73" s="1"/>
      <c r="CS73" s="1"/>
      <c r="CT73" s="1"/>
      <c r="CU73" s="1"/>
    </row>
    <row r="74" spans="1:99" s="9" customFormat="1" ht="12" customHeight="1" x14ac:dyDescent="0.2">
      <c r="A74" s="37">
        <v>43509</v>
      </c>
      <c r="B74" s="1"/>
      <c r="C74" s="1"/>
      <c r="D74" s="32"/>
      <c r="E74" s="41"/>
      <c r="F74" s="32"/>
      <c r="G74" s="32"/>
      <c r="H74" s="32"/>
      <c r="I74" s="32"/>
      <c r="J74" s="32"/>
      <c r="K74" s="36"/>
      <c r="L74" s="36"/>
      <c r="M74" s="32"/>
      <c r="N74" s="32"/>
      <c r="O74" s="32"/>
      <c r="P74" s="32"/>
      <c r="Q74" s="32"/>
      <c r="R74" s="32"/>
      <c r="S74" s="32"/>
      <c r="T74" s="32"/>
      <c r="U74" s="32"/>
      <c r="V74" s="32"/>
      <c r="W74" s="32"/>
      <c r="X74" s="32"/>
      <c r="Y74" s="41"/>
      <c r="Z74" s="32"/>
      <c r="AA74" s="32"/>
      <c r="AB74" s="32"/>
      <c r="AC74" s="32"/>
      <c r="AD74" s="32"/>
      <c r="AE74" s="32"/>
      <c r="AF74" s="45"/>
      <c r="AG74" s="28"/>
      <c r="AH74" s="4"/>
      <c r="AI74" s="28"/>
      <c r="AJ74" s="51"/>
      <c r="AK74" s="28"/>
      <c r="AL74" s="28"/>
      <c r="AM74" s="28"/>
      <c r="AN74" s="28"/>
      <c r="AO74" s="28"/>
      <c r="AP74" s="28"/>
      <c r="AQ74" s="28"/>
      <c r="AR74" s="51"/>
      <c r="AS74" s="28"/>
      <c r="AT74" s="28"/>
      <c r="AU74" s="4"/>
      <c r="AV74" s="18">
        <v>15</v>
      </c>
      <c r="AW74" s="18">
        <v>300</v>
      </c>
      <c r="AX74" s="18">
        <v>900</v>
      </c>
      <c r="AY74" s="18">
        <v>1800</v>
      </c>
      <c r="AZ74" s="18">
        <v>3600</v>
      </c>
      <c r="BA74" s="18">
        <v>7200</v>
      </c>
      <c r="BB74" s="18">
        <v>14400</v>
      </c>
      <c r="BC74" s="18">
        <v>28800</v>
      </c>
      <c r="BD74" s="18">
        <v>43200</v>
      </c>
      <c r="BE74" s="18">
        <v>86400</v>
      </c>
      <c r="BF74" s="18">
        <v>172800</v>
      </c>
      <c r="BG74" s="25">
        <v>345600</v>
      </c>
      <c r="BH74" s="25">
        <v>604800</v>
      </c>
      <c r="BI74" s="25">
        <v>3628800</v>
      </c>
      <c r="BJ74" s="25"/>
      <c r="BK74" s="25"/>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1"/>
      <c r="CS74" s="1"/>
      <c r="CT74" s="1"/>
      <c r="CU74" s="1"/>
    </row>
    <row r="75" spans="1:99" s="9" customFormat="1" ht="12" customHeight="1" x14ac:dyDescent="0.2">
      <c r="A75" s="37">
        <v>43509</v>
      </c>
      <c r="B75" s="1" t="s">
        <v>46</v>
      </c>
      <c r="C75" s="1" t="s">
        <v>47</v>
      </c>
      <c r="D75" s="32">
        <v>1913</v>
      </c>
      <c r="E75" s="41">
        <v>1</v>
      </c>
      <c r="F75" s="32">
        <v>5</v>
      </c>
      <c r="G75" s="32">
        <v>5</v>
      </c>
      <c r="H75" s="32" t="s">
        <v>115</v>
      </c>
      <c r="I75" s="32"/>
      <c r="J75" s="32" t="s">
        <v>12</v>
      </c>
      <c r="K75" s="32">
        <f>IF(J75="syllables",1,IF(J75="trigrams",2,IF(J75="strings",3,IF(J75="visual array",4,IF(J75="characters",5,IF(J75="letters",6,IF(J75="free forms",7,IF(J75="odors",8,IF(J75="words",9,IF(J75="pictures",10,IF(J75="object pictures",11,IF(J75="faces",12,IF(J75="names",13,IF(J75="idioms",14,IF(J75="grades",15,IF(J75="syllable-digit pairs",16,IF(J75="trigram-word pairs",17,IF(J75="word-digit pairs",18,IF(J75="English-Swahili pairs",19,IF(J75="spatial position",20,IF(J75="word pairs",21,IF(J75="word triads",22,IF(J75="generated words",23,IF(J75="word definition pairs",24,IF(J75="math problems",25,IF(J75="famous faces",26,IF(J75="famous names",27,IF(J75="famous voices",28,IF(J75="television programs",29,IF(J75="race horses",30,IF(J75="new vocabulary",31,IF(J75="sentences",32,IF(J75="concepts",33,IF(J75="ad slides",34,IF(J75="scenes",35,IF(J75="famous scenes",36,IF(J75="poems",37,IF(J75="walk",38,IF(J75="faces and events",39,IF(J75="events and names",40,IF(J75="flashbulb",41,IF(J75="stories",42,IF(J75="course material",43,IF(J75="autobiographical",44,IF(J75="novels",45,IF(J75="public events",46,"99"))))))))))))))))))))))))))))))))))))))))))))))</f>
        <v>9</v>
      </c>
      <c r="L75" s="32">
        <f>IF(J75="syllables",1,IF(J75="trigrams",1,IF(J75="strings",1,IF(J75="visual array",1,IF(J75="characters",1,IF(J75="letters",1,IF(J75="free forms",1,IF(J75="odors",2,IF(J75="words",2,IF(J75="pictures",2,IF(J75="object pictures",2,IF(J75="faces",2,IF(J75="names",2,IF(J75="idioms","2",IF(J75="grades",2,IF(J75="syllable-digit pairs",3,IF(J75="trigram-word pairs",3,IF(J75="word-digit pairs",3,IF(J75="English-Swahili pairs",3,IF(J75="spatial position",3,IF(J75="word pairs",4,IF(J75="word triads",4,IF(J75="generated words",4,IF(J75="word definition pairs",4,IF(J75="math problems",4,IF(J75="famous faces",4,IF(J75="famous names",4,IF(J75="famous voices",4,IF(J75="television programs",4,IF(J75="race horses",4,IF(J75="new vocabulary",4,IF(J75="sentences",5,IF(J75="concepts",5,IF(J75="ad slides",5,IF(J75="scenes",5,IF(J75="famous scenes",5,IF(J75="poems",6,IF(J75="walk",6,IF(J75="faces and events",6,IF(J75="events and names",6,IF(J75="flashbulb",7,IF(J75="stories",7,IF(J75="course material",7,IF(J75="autobiographical",7,IF(J75="novels",7,IF(J75="public events",7,"99"))))))))))))))))))))))))))))))))))))))))))))))</f>
        <v>2</v>
      </c>
      <c r="M75" s="32">
        <v>0</v>
      </c>
      <c r="N75" s="32">
        <v>1</v>
      </c>
      <c r="O75" s="32">
        <v>1</v>
      </c>
      <c r="P75" s="32" t="s">
        <v>48</v>
      </c>
      <c r="Q75" s="32" t="s">
        <v>18</v>
      </c>
      <c r="R75" s="32">
        <f>IF(Q75="Free Recall",1,IF(Q75="Cued Recall",2,IF(Q75="Recognition",3,IF(Q75="Multiple Choice",4,IF(Q75="Savings",5,IF(Q75="Stem Completion",6,IF(Q75="Fragment Completion",7,IF(Q75="anagram solution",8,IF(Q75="Matching",9,IF(Q75="Problem Solving",10,"99"))))))))))</f>
        <v>3</v>
      </c>
      <c r="S75" s="31" t="s">
        <v>196</v>
      </c>
      <c r="T75" s="31" t="s">
        <v>132</v>
      </c>
      <c r="U75" s="32">
        <f>IF(T75="within",1,0)</f>
        <v>1</v>
      </c>
      <c r="V75" s="31">
        <v>80</v>
      </c>
      <c r="W75" s="32">
        <f>F75*V75</f>
        <v>400</v>
      </c>
      <c r="X75" s="32">
        <v>14</v>
      </c>
      <c r="Y75" s="41">
        <f>AV74</f>
        <v>15</v>
      </c>
      <c r="Z75" s="32" t="s">
        <v>50</v>
      </c>
      <c r="AA75" s="32">
        <v>3628800</v>
      </c>
      <c r="AB75" s="32" t="str">
        <f>IF(AA75&lt;60,"1",IF(AA75&lt;=43200,"2",IF(AA75&lt;=777600,"3","4")))</f>
        <v>4</v>
      </c>
      <c r="AC75" s="28">
        <f>AVERAGE(AV74:DA74)</f>
        <v>352758.21428571426</v>
      </c>
      <c r="AD75" s="32" t="str">
        <f>IF(AC75&lt;60,"1",IF(AC75&lt;=43200,"2",IF(AC75&lt;=777600,"3","4")))</f>
        <v>3</v>
      </c>
      <c r="AE75" s="41">
        <f>AA75-Y75</f>
        <v>3628785</v>
      </c>
      <c r="AF75" s="45">
        <f>AV75</f>
        <v>2.763830336836715</v>
      </c>
      <c r="AG75" s="28">
        <f>((AW75-AV75)+(AX75-AW75)+(AY75-AX75)+(AZ75-AY75)+(BA75-AZ75)+(BB75-BA75)+(BC75-BB75)+(BD75-BC75)+(BE75-BD75)+(BF75-BE75)+(BG75-BF75)+(BH75-BG75)+(BI75-BH75))/13</f>
        <v>-0.18350719109931768</v>
      </c>
      <c r="AH75" s="4"/>
      <c r="AI75" s="28">
        <f>RSQ(AV75:BI75,AV74:BI74)</f>
        <v>0.22876828550649431</v>
      </c>
      <c r="AJ75" s="51">
        <f>SLOPE(AV75:BI75,AV74:BI74)</f>
        <v>-3.3963024176664068E-7</v>
      </c>
      <c r="AK75" s="28">
        <f>INTERCEPT(AV75:BI75,AV74:BI74)</f>
        <v>1.3730963601611619</v>
      </c>
      <c r="AL75" s="28" cm="1">
        <f t="array" ref="AL75">INDEX(LINEST(LN(AV75:BI75),LN(AV74:BI74),TRUE,TRUE),3,1)</f>
        <v>0.89799678359320734</v>
      </c>
      <c r="AM75" s="28" cm="1">
        <f t="array" ref="AM75">_xlfn.SINGLE(INDEX(LINEST(LN(AV75:BI75),LN(AV74:BI74)),1))</f>
        <v>-0.17446648100447038</v>
      </c>
      <c r="AN75" s="28" cm="1">
        <f t="array" ref="AN75">EXP(INDEX(LINEST(LN(AV75:BI75),LN(AV74:BI74)),1,2))</f>
        <v>5.7649256663540909</v>
      </c>
      <c r="AO75" s="47" cm="1">
        <f t="array" ref="AO75">INDEX(LINEST((AV75:BI75),LN(AV74:BI74),TRUE,TRUE),3,1)</f>
        <v>0.96023944899125246</v>
      </c>
      <c r="AP75" s="47" cm="1">
        <f t="array" ref="AP75">_xlfn.SINGLE(INDEX(LINEST((AV75:BI75),LN(AV74:BI74)),1))</f>
        <v>-0.20171064150453347</v>
      </c>
      <c r="AQ75" s="48" cm="1">
        <f t="array" ref="AQ75">INDEX(LINEST(LN(AV75:BI75),SQRT(AV74:BI74),TRUE,TRUE),3,1)</f>
        <v>0.65840451018666968</v>
      </c>
      <c r="AR75" s="56" cm="1">
        <f t="array" ref="AR75">_xlfn.SINGLE(INDEX(LINEST(LN(AV75:BI75),SQRT((AV74:BI74))),1))</f>
        <v>-9.7339215806743133E-4</v>
      </c>
      <c r="AS75" s="49" cm="1">
        <f t="array" ref="AS75">INDEX(LINEST(1/(AV75:BI75),1/(SQRT(AV74:BI74)),TRUE,TRUE),3,1)</f>
        <v>0.1682838412581201</v>
      </c>
      <c r="AT75" s="49" cm="1">
        <f t="array" ref="AT75">_xlfn.SINGLE(INDEX(LINEST(1/(AV75:BI75),1/SQRT(AV74:BI74)),1))</f>
        <v>-4.6548244805984753</v>
      </c>
      <c r="AU75" s="3"/>
      <c r="AV75" s="25">
        <v>2.763830336836715</v>
      </c>
      <c r="AW75" s="25">
        <v>2.160638681629913</v>
      </c>
      <c r="AX75" s="25">
        <v>1.7083817834502564</v>
      </c>
      <c r="AY75" s="25">
        <v>1.6163171617541385</v>
      </c>
      <c r="AZ75" s="25">
        <v>1.5208540854994377</v>
      </c>
      <c r="BA75" s="25">
        <v>1.186542737393125</v>
      </c>
      <c r="BB75" s="25">
        <v>1.4126051256801748</v>
      </c>
      <c r="BC75" s="25">
        <v>1.1656830145424326</v>
      </c>
      <c r="BD75" s="25">
        <v>1.1479048371371467</v>
      </c>
      <c r="BE75" s="25">
        <v>0.71692014759208744</v>
      </c>
      <c r="BF75" s="25">
        <v>0.75177711596125441</v>
      </c>
      <c r="BG75" s="25">
        <v>0.6610593307394681</v>
      </c>
      <c r="BH75" s="25">
        <v>0.3552948250521733</v>
      </c>
      <c r="BI75" s="25">
        <v>0.37823685254558498</v>
      </c>
      <c r="BJ75" s="25"/>
      <c r="BK75" s="25"/>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1"/>
      <c r="CS75" s="1"/>
      <c r="CT75" s="1"/>
      <c r="CU75" s="1"/>
    </row>
    <row r="76" spans="1:99" s="9" customFormat="1" ht="12" customHeight="1" x14ac:dyDescent="0.2">
      <c r="A76" s="37">
        <v>43509</v>
      </c>
      <c r="B76" s="1"/>
      <c r="C76" s="1"/>
      <c r="D76" s="32"/>
      <c r="E76" s="41"/>
      <c r="F76" s="32"/>
      <c r="G76" s="32"/>
      <c r="H76" s="32"/>
      <c r="I76" s="32"/>
      <c r="J76" s="32"/>
      <c r="K76" s="36"/>
      <c r="L76" s="36"/>
      <c r="M76" s="32"/>
      <c r="N76" s="32"/>
      <c r="O76" s="32"/>
      <c r="P76" s="32"/>
      <c r="Q76" s="32"/>
      <c r="R76" s="32"/>
      <c r="S76" s="32"/>
      <c r="T76" s="32"/>
      <c r="U76" s="32"/>
      <c r="V76" s="32"/>
      <c r="W76" s="32"/>
      <c r="X76" s="32"/>
      <c r="Y76" s="41"/>
      <c r="Z76" s="32"/>
      <c r="AA76" s="32"/>
      <c r="AB76" s="32"/>
      <c r="AC76" s="32"/>
      <c r="AD76" s="32"/>
      <c r="AE76" s="32"/>
      <c r="AF76" s="45"/>
      <c r="AG76" s="28"/>
      <c r="AH76" s="4"/>
      <c r="AI76" s="28"/>
      <c r="AJ76" s="51"/>
      <c r="AK76" s="28"/>
      <c r="AL76" s="28"/>
      <c r="AM76" s="28"/>
      <c r="AN76" s="28"/>
      <c r="AO76" s="28"/>
      <c r="AP76" s="28"/>
      <c r="AQ76" s="28"/>
      <c r="AR76" s="51"/>
      <c r="AS76" s="28"/>
      <c r="AT76" s="28"/>
      <c r="AU76" s="4"/>
      <c r="AV76" s="18">
        <f>24*60*60</f>
        <v>86400</v>
      </c>
      <c r="AW76" s="18">
        <f>2*24*60*60</f>
        <v>172800</v>
      </c>
      <c r="AX76" s="18">
        <f>30*24*60*60</f>
        <v>2592000</v>
      </c>
      <c r="AY76" s="18">
        <f>90*24*60*60</f>
        <v>7776000</v>
      </c>
      <c r="AZ76" s="25"/>
      <c r="BA76" s="25"/>
      <c r="BB76" s="25"/>
      <c r="BC76" s="25"/>
      <c r="BD76" s="25"/>
      <c r="BE76" s="25"/>
      <c r="BF76" s="25"/>
      <c r="BG76" s="25"/>
      <c r="BH76" s="25"/>
      <c r="BI76" s="25"/>
      <c r="BJ76" s="25"/>
      <c r="BK76" s="25"/>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1"/>
      <c r="CS76" s="1"/>
      <c r="CT76" s="1"/>
      <c r="CU76" s="1"/>
    </row>
    <row r="77" spans="1:99" s="9" customFormat="1" ht="12" customHeight="1" x14ac:dyDescent="0.2">
      <c r="A77" s="37">
        <v>43509</v>
      </c>
      <c r="B77" s="17" t="s">
        <v>66</v>
      </c>
      <c r="C77" s="1" t="s">
        <v>67</v>
      </c>
      <c r="D77" s="32">
        <v>2006</v>
      </c>
      <c r="E77" s="41">
        <v>1</v>
      </c>
      <c r="F77" s="32">
        <v>22</v>
      </c>
      <c r="G77" s="32">
        <v>22</v>
      </c>
      <c r="H77" s="32" t="s">
        <v>154</v>
      </c>
      <c r="I77" s="32" t="s">
        <v>152</v>
      </c>
      <c r="J77" s="32" t="s">
        <v>82</v>
      </c>
      <c r="K77" s="32">
        <f>IF(J77="syllables",1,IF(J77="trigrams",2,IF(J77="strings",3,IF(J77="visual array",4,IF(J77="characters",5,IF(J77="letters",6,IF(J77="free forms",7,IF(J77="odors",8,IF(J77="words",9,IF(J77="pictures",10,IF(J77="object pictures",11,IF(J77="faces",12,IF(J77="names",13,IF(J77="idioms",14,IF(J77="grades",15,IF(J77="syllable-digit pairs",16,IF(J77="trigram-word pairs",17,IF(J77="word-digit pairs",18,IF(J77="English-Swahili pairs",19,IF(J77="spatial position",20,IF(J77="word pairs",21,IF(J77="word triads",22,IF(J77="generated words",23,IF(J77="word definition pairs",24,IF(J77="math problems",25,IF(J77="famous faces",26,IF(J77="famous names",27,IF(J77="famous voices",28,IF(J77="television programs",29,IF(J77="race horses",30,IF(J77="new vocabulary",31,IF(J77="sentences",32,IF(J77="concepts",33,IF(J77="ad slides",34,IF(J77="scenes",35,IF(J77="famous scenes",36,IF(J77="poems",37,IF(J77="walk",38,IF(J77="faces and events",39,IF(J77="events and names",40,IF(J77="flashbulb",41,IF(J77="stories",42,IF(J77="course material",43,IF(J77="autobiographical",44,IF(J77="novels",45,IF(J77="public events",46,"99"))))))))))))))))))))))))))))))))))))))))))))))</f>
        <v>10</v>
      </c>
      <c r="L77" s="32">
        <f>IF(J77="syllables",1,IF(J77="trigrams",1,IF(J77="strings",1,IF(J77="visual array",1,IF(J77="characters",1,IF(J77="letters",1,IF(J77="free forms",1,IF(J77="odors",2,IF(J77="words",2,IF(J77="pictures",2,IF(J77="object pictures",2,IF(J77="faces",2,IF(J77="names",2,IF(J77="idioms","2",IF(J77="grades",2,IF(J77="syllable-digit pairs",3,IF(J77="trigram-word pairs",3,IF(J77="word-digit pairs",3,IF(J77="English-Swahili pairs",3,IF(J77="spatial position",3,IF(J77="word pairs",4,IF(J77="word triads",4,IF(J77="generated words",4,IF(J77="word definition pairs",4,IF(J77="math problems",4,IF(J77="famous faces",4,IF(J77="famous names",4,IF(J77="famous voices",4,IF(J77="television programs",4,IF(J77="race horses",4,IF(J77="new vocabulary",4,IF(J77="sentences",5,IF(J77="concepts",5,IF(J77="ad slides",5,IF(J77="scenes",5,IF(J77="famous scenes",5,IF(J77="poems",6,IF(J77="walk",6,IF(J77="faces and events",6,IF(J77="events and names",6,IF(J77="flashbulb",7,IF(J77="stories",7,IF(J77="course material",7,IF(J77="autobiographical",7,IF(J77="novels",7,IF(J77="public events",7,"99"))))))))))))))))))))))))))))))))))))))))))))))</f>
        <v>2</v>
      </c>
      <c r="M77" s="32">
        <v>0</v>
      </c>
      <c r="N77" s="32">
        <v>1</v>
      </c>
      <c r="O77" s="32">
        <v>0</v>
      </c>
      <c r="P77" s="32"/>
      <c r="Q77" s="32" t="s">
        <v>18</v>
      </c>
      <c r="R77" s="32">
        <f>IF(Q77="Free Recall",1,IF(Q77="Cued Recall",2,IF(Q77="Recognition",3,IF(Q77="Multiple Choice",4,IF(Q77="Savings",5,IF(Q77="Stem Completion",6,IF(Q77="Fragment Completion",7,IF(Q77="anagram solution",8,IF(Q77="Matching",9,IF(Q77="Problem Solving",10,"99"))))))))))</f>
        <v>3</v>
      </c>
      <c r="S77" s="31" t="s">
        <v>196</v>
      </c>
      <c r="T77" s="31" t="s">
        <v>132</v>
      </c>
      <c r="U77" s="32">
        <f>IF(T77="within",1,0)</f>
        <v>1</v>
      </c>
      <c r="V77" s="31">
        <v>480</v>
      </c>
      <c r="W77" s="32">
        <f>F77*V77</f>
        <v>10560</v>
      </c>
      <c r="X77" s="32">
        <v>4</v>
      </c>
      <c r="Y77" s="41">
        <f>AV76</f>
        <v>86400</v>
      </c>
      <c r="Z77" s="32" t="s">
        <v>63</v>
      </c>
      <c r="AA77" s="32">
        <f>30*24*60*60*3</f>
        <v>7776000</v>
      </c>
      <c r="AB77" s="32" t="str">
        <f>IF(AA77&lt;60,"1",IF(AA77&lt;=43200,"2",IF(AA77&lt;=777600,"3","4")))</f>
        <v>4</v>
      </c>
      <c r="AC77" s="28">
        <f>AVERAGE(AV76:DA76)</f>
        <v>2656800</v>
      </c>
      <c r="AD77" s="32" t="str">
        <f>IF(AC77&lt;60,"1",IF(AC77&lt;=43200,"2",IF(AC77&lt;=777600,"3","4")))</f>
        <v>4</v>
      </c>
      <c r="AE77" s="41">
        <f>AA77-Y77</f>
        <v>7689600</v>
      </c>
      <c r="AF77" s="45">
        <f>AV77</f>
        <v>1.4</v>
      </c>
      <c r="AG77" s="28">
        <f>((AW77-AV77)+(AX77-AW77)+(AY77-AX77))/3</f>
        <v>-0.3</v>
      </c>
      <c r="AH77" s="4"/>
      <c r="AI77" s="28">
        <f>RSQ(AV77:AY77,AV76:AY76)</f>
        <v>0.81232353950647607</v>
      </c>
      <c r="AJ77" s="51">
        <f>SLOPE(AV77:AY77,AV76:AY76)</f>
        <v>-1.1063819791262231E-7</v>
      </c>
      <c r="AK77" s="28">
        <f>INTERCEPT(AV77:AY77,AV76:AY76)</f>
        <v>1.268943564214255</v>
      </c>
      <c r="AL77" s="28">
        <f>INDEX(LINEST(LN(AV77:AY77),LN(AV76:AY76),TRUE,TRUE),3,1)</f>
        <v>0.99029489486383748</v>
      </c>
      <c r="AM77" s="28">
        <f>INDEX(LINEST(LN(AV77:AY77),LN(AV76:AY76)),1)</f>
        <v>-0.22999800949898919</v>
      </c>
      <c r="AN77" s="28">
        <f>EXP(INDEX(LINEST(LN(AV77:AY77),LN(AV76:AY76)),1,2))</f>
        <v>20.000183328559373</v>
      </c>
      <c r="AO77" s="47">
        <f>INDEX(LINEST((AV77:AY77),LN(AV76:AY76),TRUE,TRUE),3,1)</f>
        <v>0.99775492305111202</v>
      </c>
      <c r="AP77" s="47">
        <f>INDEX(LINEST((AV77:AY77),LN(AV76:AY76)),1)</f>
        <v>-0.20586058239977972</v>
      </c>
      <c r="AQ77" s="48">
        <f>INDEX(LINEST(LN(AV77:AY77),SQRT(AV76:AY76),TRUE,TRUE),3,1)</f>
        <v>0.97929778893025743</v>
      </c>
      <c r="AR77" s="56">
        <f>INDEX(LINEST(LN(AV77:AY77),SQRT((AV76:AY76))),1)</f>
        <v>-4.198973739358851E-4</v>
      </c>
      <c r="AS77" s="49">
        <f>INDEX(LINEST(1/(AV77:AY77),1/(SQRT(AV76:AY76)),TRUE,TRUE),3,1)</f>
        <v>0.85008222022769087</v>
      </c>
      <c r="AT77" s="49">
        <f>INDEX(LINEST(1/(AV77:AY77),1/SQRT(AV76:AY76)),1)</f>
        <v>-385.33573364594264</v>
      </c>
      <c r="AU77" s="3"/>
      <c r="AV77" s="25">
        <v>1.4</v>
      </c>
      <c r="AW77" s="25">
        <v>1.3</v>
      </c>
      <c r="AX77" s="25">
        <v>0.7</v>
      </c>
      <c r="AY77" s="25">
        <v>0.5</v>
      </c>
      <c r="AZ77" s="25"/>
      <c r="BA77" s="25"/>
      <c r="BB77" s="25"/>
      <c r="BC77" s="25"/>
      <c r="BD77" s="25"/>
      <c r="BE77" s="25"/>
      <c r="BF77" s="25"/>
      <c r="BG77" s="25"/>
      <c r="BH77" s="25"/>
      <c r="BI77" s="25"/>
      <c r="BJ77" s="25"/>
      <c r="BK77" s="25"/>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1"/>
      <c r="CS77" s="1"/>
      <c r="CT77" s="1"/>
      <c r="CU77" s="1"/>
    </row>
    <row r="78" spans="1:99" s="9" customFormat="1" ht="12" customHeight="1" x14ac:dyDescent="0.2">
      <c r="A78" s="37">
        <v>43509</v>
      </c>
      <c r="B78" s="1"/>
      <c r="C78" s="1"/>
      <c r="D78" s="32"/>
      <c r="E78" s="41"/>
      <c r="F78" s="32"/>
      <c r="G78" s="32"/>
      <c r="H78" s="32"/>
      <c r="I78" s="32"/>
      <c r="J78" s="32"/>
      <c r="K78" s="36"/>
      <c r="L78" s="36"/>
      <c r="M78" s="32"/>
      <c r="N78" s="32"/>
      <c r="O78" s="32"/>
      <c r="P78" s="32"/>
      <c r="Q78" s="32"/>
      <c r="R78" s="32"/>
      <c r="S78" s="32"/>
      <c r="T78" s="32"/>
      <c r="U78" s="32"/>
      <c r="V78" s="31"/>
      <c r="W78" s="32"/>
      <c r="X78" s="32"/>
      <c r="Y78" s="41"/>
      <c r="Z78" s="32"/>
      <c r="AA78" s="32"/>
      <c r="AB78" s="32"/>
      <c r="AC78" s="32"/>
      <c r="AD78" s="32"/>
      <c r="AE78" s="32"/>
      <c r="AF78" s="45"/>
      <c r="AG78" s="28"/>
      <c r="AH78" s="4"/>
      <c r="AI78" s="28"/>
      <c r="AJ78" s="51"/>
      <c r="AK78" s="28"/>
      <c r="AL78" s="28"/>
      <c r="AM78" s="28"/>
      <c r="AN78" s="28"/>
      <c r="AO78" s="28"/>
      <c r="AP78" s="28"/>
      <c r="AQ78" s="28"/>
      <c r="AR78" s="51"/>
      <c r="AS78" s="28"/>
      <c r="AT78" s="28"/>
      <c r="AU78" s="4"/>
      <c r="AV78" s="18">
        <f>24*60*60</f>
        <v>86400</v>
      </c>
      <c r="AW78" s="18">
        <f>2*24*60*60</f>
        <v>172800</v>
      </c>
      <c r="AX78" s="18">
        <f>30*24*60*60</f>
        <v>2592000</v>
      </c>
      <c r="AY78" s="18">
        <f>90*24*60*60</f>
        <v>7776000</v>
      </c>
      <c r="AZ78" s="25"/>
      <c r="BA78" s="25"/>
      <c r="BB78" s="25"/>
      <c r="BC78" s="25"/>
      <c r="BD78" s="25"/>
      <c r="BE78" s="25"/>
      <c r="BF78" s="25"/>
      <c r="BG78" s="25"/>
      <c r="BH78" s="25"/>
      <c r="BI78" s="25"/>
      <c r="BJ78" s="25"/>
      <c r="BK78" s="25"/>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1"/>
      <c r="CS78" s="1"/>
      <c r="CT78" s="1"/>
      <c r="CU78" s="1"/>
    </row>
    <row r="79" spans="1:99" s="9" customFormat="1" ht="12" customHeight="1" x14ac:dyDescent="0.2">
      <c r="A79" s="37">
        <v>43509</v>
      </c>
      <c r="B79" s="1" t="s">
        <v>66</v>
      </c>
      <c r="C79" s="1" t="s">
        <v>67</v>
      </c>
      <c r="D79" s="32">
        <v>2006</v>
      </c>
      <c r="E79" s="41">
        <v>1</v>
      </c>
      <c r="F79" s="32">
        <v>22</v>
      </c>
      <c r="G79" s="32">
        <v>22</v>
      </c>
      <c r="H79" s="32" t="s">
        <v>154</v>
      </c>
      <c r="I79" s="32" t="s">
        <v>153</v>
      </c>
      <c r="J79" s="32" t="s">
        <v>82</v>
      </c>
      <c r="K79" s="32">
        <f>IF(J79="syllables",1,IF(J79="trigrams",2,IF(J79="strings",3,IF(J79="visual array",4,IF(J79="characters",5,IF(J79="letters",6,IF(J79="free forms",7,IF(J79="odors",8,IF(J79="words",9,IF(J79="pictures",10,IF(J79="object pictures",11,IF(J79="faces",12,IF(J79="names",13,IF(J79="idioms",14,IF(J79="grades",15,IF(J79="syllable-digit pairs",16,IF(J79="trigram-word pairs",17,IF(J79="word-digit pairs",18,IF(J79="English-Swahili pairs",19,IF(J79="spatial position",20,IF(J79="word pairs",21,IF(J79="word triads",22,IF(J79="generated words",23,IF(J79="word definition pairs",24,IF(J79="math problems",25,IF(J79="famous faces",26,IF(J79="famous names",27,IF(J79="famous voices",28,IF(J79="television programs",29,IF(J79="race horses",30,IF(J79="new vocabulary",31,IF(J79="sentences",32,IF(J79="concepts",33,IF(J79="ad slides",34,IF(J79="scenes",35,IF(J79="famous scenes",36,IF(J79="poems",37,IF(J79="walk",38,IF(J79="faces and events",39,IF(J79="events and names",40,IF(J79="flashbulb",41,IF(J79="stories",42,IF(J79="course material",43,IF(J79="autobiographical",44,IF(J79="novels",45,IF(J79="public events",46,"99"))))))))))))))))))))))))))))))))))))))))))))))</f>
        <v>10</v>
      </c>
      <c r="L79" s="32">
        <f>IF(J79="syllables",1,IF(J79="trigrams",1,IF(J79="strings",1,IF(J79="visual array",1,IF(J79="characters",1,IF(J79="letters",1,IF(J79="free forms",1,IF(J79="odors",2,IF(J79="words",2,IF(J79="pictures",2,IF(J79="object pictures",2,IF(J79="faces",2,IF(J79="names",2,IF(J79="idioms","2",IF(J79="grades",2,IF(J79="syllable-digit pairs",3,IF(J79="trigram-word pairs",3,IF(J79="word-digit pairs",3,IF(J79="English-Swahili pairs",3,IF(J79="spatial position",3,IF(J79="word pairs",4,IF(J79="word triads",4,IF(J79="generated words",4,IF(J79="word definition pairs",4,IF(J79="math problems",4,IF(J79="famous faces",4,IF(J79="famous names",4,IF(J79="famous voices",4,IF(J79="television programs",4,IF(J79="race horses",4,IF(J79="new vocabulary",4,IF(J79="sentences",5,IF(J79="concepts",5,IF(J79="ad slides",5,IF(J79="scenes",5,IF(J79="famous scenes",5,IF(J79="poems",6,IF(J79="walk",6,IF(J79="faces and events",6,IF(J79="events and names",6,IF(J79="flashbulb",7,IF(J79="stories",7,IF(J79="course material",7,IF(J79="autobiographical",7,IF(J79="novels",7,IF(J79="public events",7,"99"))))))))))))))))))))))))))))))))))))))))))))))</f>
        <v>2</v>
      </c>
      <c r="M79" s="32">
        <v>0</v>
      </c>
      <c r="N79" s="32">
        <v>1</v>
      </c>
      <c r="O79" s="32">
        <v>0</v>
      </c>
      <c r="P79" s="32"/>
      <c r="Q79" s="32" t="s">
        <v>18</v>
      </c>
      <c r="R79" s="32">
        <f>IF(Q79="Free Recall",1,IF(Q79="Cued Recall",2,IF(Q79="Recognition",3,IF(Q79="Multiple Choice",4,IF(Q79="Savings",5,IF(Q79="Stem Completion",6,IF(Q79="Fragment Completion",7,IF(Q79="anagram solution",8,IF(Q79="Matching",9,IF(Q79="Problem Solving",10,"99"))))))))))</f>
        <v>3</v>
      </c>
      <c r="S79" s="31" t="s">
        <v>196</v>
      </c>
      <c r="T79" s="31" t="s">
        <v>132</v>
      </c>
      <c r="U79" s="32">
        <f>IF(T79="within",1,0)</f>
        <v>1</v>
      </c>
      <c r="V79" s="31">
        <v>480</v>
      </c>
      <c r="W79" s="32">
        <f>F79*V79</f>
        <v>10560</v>
      </c>
      <c r="X79" s="32">
        <v>4</v>
      </c>
      <c r="Y79" s="41">
        <f>AV78</f>
        <v>86400</v>
      </c>
      <c r="Z79" s="32" t="s">
        <v>63</v>
      </c>
      <c r="AA79" s="32">
        <f>30*24*60*60*3</f>
        <v>7776000</v>
      </c>
      <c r="AB79" s="32" t="str">
        <f>IF(AA79&lt;60,"1",IF(AA79&lt;=43200,"2",IF(AA79&lt;=777600,"3","4")))</f>
        <v>4</v>
      </c>
      <c r="AC79" s="28">
        <f>AVERAGE(AV78:DA78)</f>
        <v>2656800</v>
      </c>
      <c r="AD79" s="32" t="str">
        <f>IF(AC79&lt;60,"1",IF(AC79&lt;=43200,"2",IF(AC79&lt;=777600,"3","4")))</f>
        <v>4</v>
      </c>
      <c r="AE79" s="41">
        <f>AA79-Y79</f>
        <v>7689600</v>
      </c>
      <c r="AF79" s="45">
        <f>AV79</f>
        <v>1.9</v>
      </c>
      <c r="AG79" s="28">
        <f>((AW79-AV79)+(AX79-AW79)+(AY79-AX79))/3</f>
        <v>-3.3333333333333291E-2</v>
      </c>
      <c r="AH79" s="4"/>
      <c r="AI79" s="28">
        <f>RSQ(AV79:AY79,AV78:AY78)</f>
        <v>0.53002815479480025</v>
      </c>
      <c r="AJ79" s="51">
        <f>SLOPE(AV79:AY79,AV78:AY78)</f>
        <v>-1.9335368588635533E-8</v>
      </c>
      <c r="AK79" s="28">
        <f>INTERCEPT(AV79:AY79,AV78:AY78)</f>
        <v>1.9263702072662869</v>
      </c>
      <c r="AL79" s="28">
        <f>INDEX(LINEST(LN(AV79:AY79),LN(AV78:AY78),TRUE,TRUE),3,1)</f>
        <v>0.68464955365160052</v>
      </c>
      <c r="AM79" s="28">
        <f>INDEX(LINEST(LN(AV79:AY79),LN(AV78:AY78)),1)</f>
        <v>-1.9484243959720874E-2</v>
      </c>
      <c r="AN79" s="28">
        <f>EXP(INDEX(LINEST(LN(AV79:AY79),LN(AV78:AY78)),1,2))</f>
        <v>2.4375139362669764</v>
      </c>
      <c r="AO79" s="47">
        <f>INDEX(LINEST((AV79:AY79),LN(AV78:AY78),TRUE,TRUE),3,1)</f>
        <v>0.67292470692885598</v>
      </c>
      <c r="AP79" s="47">
        <f>INDEX(LINEST((AV79:AY79),LN(AV78:AY78)),1)</f>
        <v>-3.6576900921308934E-2</v>
      </c>
      <c r="AQ79" s="48">
        <f>INDEX(LINEST(LN(AV79:AY79),SQRT(AV78:AY78),TRUE,TRUE),3,1)</f>
        <v>0.65791670744173925</v>
      </c>
      <c r="AR79" s="56">
        <f>INDEX(LINEST(LN(AV79:AY79),SQRT((AV78:AY78))),1)</f>
        <v>-3.5065401488334146E-5</v>
      </c>
      <c r="AS79" s="49">
        <f>INDEX(LINEST(1/(AV79:AY79),1/(SQRT(AV78:AY78)),TRUE,TRUE),3,1)</f>
        <v>0.58419351846196421</v>
      </c>
      <c r="AT79" s="49">
        <f>INDEX(LINEST(1/(AV79:AY79),1/SQRT(AV78:AY78)),1)</f>
        <v>-14.034784610071288</v>
      </c>
      <c r="AU79" s="3"/>
      <c r="AV79" s="25">
        <v>1.9</v>
      </c>
      <c r="AW79" s="25">
        <v>2</v>
      </c>
      <c r="AX79" s="25">
        <v>1.8</v>
      </c>
      <c r="AY79" s="25">
        <v>1.8</v>
      </c>
      <c r="AZ79" s="25"/>
      <c r="BA79" s="25"/>
      <c r="BB79" s="25"/>
      <c r="BC79" s="25"/>
      <c r="BD79" s="25"/>
      <c r="BE79" s="25"/>
      <c r="BF79" s="25"/>
      <c r="BG79" s="25"/>
      <c r="BH79" s="25"/>
      <c r="BI79" s="25"/>
      <c r="BJ79" s="25"/>
      <c r="BK79" s="25"/>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1"/>
      <c r="CS79" s="1"/>
      <c r="CT79" s="1"/>
      <c r="CU79" s="1"/>
    </row>
    <row r="80" spans="1:99" s="9" customFormat="1" ht="12" customHeight="1" x14ac:dyDescent="0.2">
      <c r="A80" s="37">
        <v>43900</v>
      </c>
      <c r="B80" s="1"/>
      <c r="C80" s="1"/>
      <c r="D80" s="32"/>
      <c r="E80" s="41"/>
      <c r="F80" s="32"/>
      <c r="G80" s="32"/>
      <c r="H80" s="32"/>
      <c r="I80" s="32"/>
      <c r="J80" s="32"/>
      <c r="K80" s="36"/>
      <c r="L80" s="36"/>
      <c r="M80" s="32"/>
      <c r="N80" s="32"/>
      <c r="O80" s="32"/>
      <c r="P80" s="32"/>
      <c r="Q80" s="32"/>
      <c r="R80" s="32"/>
      <c r="S80" s="32"/>
      <c r="T80" s="32"/>
      <c r="U80" s="32"/>
      <c r="V80" s="32"/>
      <c r="W80" s="32"/>
      <c r="X80" s="32"/>
      <c r="Y80" s="41"/>
      <c r="Z80" s="32"/>
      <c r="AA80" s="32"/>
      <c r="AB80" s="32"/>
      <c r="AC80" s="28"/>
      <c r="AD80" s="32"/>
      <c r="AE80" s="32"/>
      <c r="AF80" s="45"/>
      <c r="AG80" s="28"/>
      <c r="AH80" s="4"/>
      <c r="AI80" s="28"/>
      <c r="AJ80" s="51"/>
      <c r="AK80" s="28"/>
      <c r="AL80" s="28"/>
      <c r="AM80" s="28"/>
      <c r="AN80" s="28"/>
      <c r="AO80" s="47"/>
      <c r="AP80" s="47"/>
      <c r="AQ80" s="48"/>
      <c r="AR80" s="56"/>
      <c r="AS80" s="49"/>
      <c r="AT80" s="49"/>
      <c r="AU80" s="3"/>
      <c r="AV80" s="18">
        <v>900</v>
      </c>
      <c r="AW80" s="18">
        <v>86400</v>
      </c>
      <c r="AX80" s="18">
        <v>604800</v>
      </c>
      <c r="AY80" s="18">
        <v>2592000</v>
      </c>
      <c r="AZ80" s="25">
        <v>7862400</v>
      </c>
      <c r="BA80" s="25"/>
      <c r="BB80" s="25"/>
      <c r="BC80" s="25"/>
      <c r="BD80" s="25"/>
      <c r="BE80" s="25"/>
      <c r="BF80" s="25"/>
      <c r="BG80" s="25"/>
      <c r="BH80" s="25"/>
      <c r="BI80" s="25"/>
      <c r="BJ80" s="25"/>
      <c r="BK80" s="25"/>
      <c r="BL80" s="20"/>
      <c r="BM80" s="20"/>
      <c r="BN80" s="20"/>
      <c r="BO80" s="20"/>
      <c r="BP80" s="20"/>
      <c r="BQ80" s="20"/>
      <c r="BR80" s="20"/>
      <c r="BS80" s="20"/>
      <c r="BT80" s="20"/>
      <c r="BU80" s="20"/>
      <c r="BV80" s="20"/>
      <c r="BW80" s="20"/>
      <c r="BX80" s="20"/>
      <c r="BY80" s="20"/>
      <c r="BZ80" s="20"/>
      <c r="CA80" s="20"/>
      <c r="CB80" s="20"/>
      <c r="CC80" s="20"/>
      <c r="CD80" s="20"/>
      <c r="CE80" s="20"/>
      <c r="CF80" s="20"/>
      <c r="CG80" s="20"/>
      <c r="CH80" s="20"/>
      <c r="CI80" s="20"/>
      <c r="CJ80" s="20"/>
      <c r="CK80" s="20"/>
      <c r="CL80" s="20"/>
      <c r="CM80" s="20"/>
      <c r="CN80" s="20"/>
      <c r="CO80" s="20"/>
      <c r="CP80" s="20"/>
      <c r="CQ80" s="20"/>
      <c r="CR80" s="1"/>
      <c r="CS80" s="1"/>
      <c r="CT80" s="1"/>
      <c r="CU80" s="1"/>
    </row>
    <row r="81" spans="1:99" s="9" customFormat="1" ht="12" customHeight="1" x14ac:dyDescent="0.2">
      <c r="A81" s="37">
        <v>43900</v>
      </c>
      <c r="B81" s="1" t="s">
        <v>101</v>
      </c>
      <c r="C81" s="1" t="s">
        <v>102</v>
      </c>
      <c r="D81" s="32">
        <v>2012</v>
      </c>
      <c r="E81" s="41">
        <v>1</v>
      </c>
      <c r="F81" s="32">
        <v>58</v>
      </c>
      <c r="G81" s="32">
        <v>58</v>
      </c>
      <c r="H81" s="32" t="s">
        <v>104</v>
      </c>
      <c r="I81" s="32" t="s">
        <v>103</v>
      </c>
      <c r="J81" s="32" t="s">
        <v>82</v>
      </c>
      <c r="K81" s="32">
        <f>IF(J81="syllables",1,IF(J81="trigrams",2,IF(J81="strings",3,IF(J81="visual array",4,IF(J81="characters",5,IF(J81="letters",6,IF(J81="free forms",7,IF(J81="odors",8,IF(J81="words",9,IF(J81="pictures",10,IF(J81="object pictures",11,IF(J81="faces",12,IF(J81="names",13,IF(J81="idioms",14,IF(J81="grades",15,IF(J81="syllable-digit pairs",16,IF(J81="trigram-word pairs",17,IF(J81="word-digit pairs",18,IF(J81="English-Swahili pairs",19,IF(J81="spatial position",20,IF(J81="word pairs",21,IF(J81="word triads",22,IF(J81="generated words",23,IF(J81="word definition pairs",24,IF(J81="math problems",25,IF(J81="famous faces",26,IF(J81="famous names",27,IF(J81="famous voices",28,IF(J81="television programs",29,IF(J81="race horses",30,IF(J81="new vocabulary",31,IF(J81="sentences",32,IF(J81="concepts",33,IF(J81="ad slides",34,IF(J81="scenes",35,IF(J81="famous scenes",36,IF(J81="poems",37,IF(J81="walk",38,IF(J81="faces and events",39,IF(J81="events and names",40,IF(J81="flashbulb",41,IF(J81="stories",42,IF(J81="course material",43,IF(J81="autobiographical",44,IF(J81="novels",45,IF(J81="public events",46,"99"))))))))))))))))))))))))))))))))))))))))))))))</f>
        <v>10</v>
      </c>
      <c r="L81" s="32">
        <f>IF(J81="syllables",1,IF(J81="trigrams",1,IF(J81="strings",1,IF(J81="visual array",1,IF(J81="characters",1,IF(J81="letters",1,IF(J81="free forms",1,IF(J81="odors",2,IF(J81="words",2,IF(J81="pictures",2,IF(J81="object pictures",2,IF(J81="faces",2,IF(J81="names",2,IF(J81="idioms","2",IF(J81="grades",2,IF(J81="syllable-digit pairs",3,IF(J81="trigram-word pairs",3,IF(J81="word-digit pairs",3,IF(J81="English-Swahili pairs",3,IF(J81="spatial position",3,IF(J81="word pairs",4,IF(J81="word triads",4,IF(J81="generated words",4,IF(J81="word definition pairs",4,IF(J81="math problems",4,IF(J81="famous faces",4,IF(J81="famous names",4,IF(J81="famous voices",4,IF(J81="television programs",4,IF(J81="race horses",4,IF(J81="new vocabulary",4,IF(J81="sentences",5,IF(J81="concepts",5,IF(J81="ad slides",5,IF(J81="scenes",5,IF(J81="famous scenes",5,IF(J81="poems",6,IF(J81="walk",6,IF(J81="faces and events",6,IF(J81="events and names",6,IF(J81="flashbulb",7,IF(J81="stories",7,IF(J81="course material",7,IF(J81="autobiographical",7,IF(J81="novels",7,IF(J81="public events",7,"99"))))))))))))))))))))))))))))))))))))))))))))))</f>
        <v>2</v>
      </c>
      <c r="M81" s="32">
        <v>0</v>
      </c>
      <c r="N81" s="32">
        <v>1</v>
      </c>
      <c r="O81" s="32">
        <v>1</v>
      </c>
      <c r="P81" s="32" t="s">
        <v>32</v>
      </c>
      <c r="Q81" s="32" t="s">
        <v>18</v>
      </c>
      <c r="R81" s="32">
        <f>IF(Q81="Free Recall",1,IF(Q81="Cued Recall",2,IF(Q81="Recognition",3,IF(Q81="Multiple Choice",4,IF(Q81="Savings",5,IF(Q81="Stem Completion",6,IF(Q81="Fragment Completion",7,IF(Q81="anagram solution",8,IF(Q81="Matching",9,IF(Q81="Problem Solving",10,"99"))))))))))</f>
        <v>3</v>
      </c>
      <c r="S81" s="77" t="s">
        <v>196</v>
      </c>
      <c r="T81" s="31" t="s">
        <v>132</v>
      </c>
      <c r="U81" s="32">
        <f>IF(T81="within",1,0)</f>
        <v>1</v>
      </c>
      <c r="V81" s="31">
        <v>50</v>
      </c>
      <c r="W81" s="32">
        <f>F81*V81</f>
        <v>2900</v>
      </c>
      <c r="X81" s="32">
        <v>5</v>
      </c>
      <c r="Y81" s="41">
        <f>AV80</f>
        <v>900</v>
      </c>
      <c r="Z81" s="32" t="s">
        <v>105</v>
      </c>
      <c r="AA81" s="32">
        <f>60*60*24*91</f>
        <v>7862400</v>
      </c>
      <c r="AB81" s="32" t="str">
        <f>IF(AA81&lt;60,"1",IF(AA81&lt;=43200,"2",IF(AA81&lt;=777600,"3","4")))</f>
        <v>4</v>
      </c>
      <c r="AC81" s="28">
        <f>AVERAGE(AV80:DA80)</f>
        <v>2229300</v>
      </c>
      <c r="AD81" s="32" t="str">
        <f>IF(AC81&lt;60,"1",IF(AC81&lt;=43200,"2",IF(AC81&lt;=777600,"3","4")))</f>
        <v>4</v>
      </c>
      <c r="AE81" s="41">
        <f>AA81-Y81</f>
        <v>7861500</v>
      </c>
      <c r="AF81" s="45">
        <f>AV81</f>
        <v>3.1264322293123898</v>
      </c>
      <c r="AG81" s="28">
        <f>((AW81-AV81)+(AX81-AW81)+(AY81-AX81)+(AZ81-AY81))/4</f>
        <v>-0.47659187133766995</v>
      </c>
      <c r="AH81" s="4"/>
      <c r="AI81" s="28">
        <f>RSQ(AV81:AZ81,AV80:AZ80)</f>
        <v>0.65187481971897132</v>
      </c>
      <c r="AJ81" s="51">
        <f>SLOPE(AV81:AZ81,AV80:AZ80)</f>
        <v>-2.0659010099627149E-7</v>
      </c>
      <c r="AK81" s="28">
        <f>INTERCEPT(AV81:AZ81,AV80:AZ80)</f>
        <v>2.5980836185007257</v>
      </c>
      <c r="AL81" s="28">
        <f>INDEX(LINEST(LN(AV81:AZ81),LN(AV80:AZ80),TRUE,TRUE),3,1)</f>
        <v>0.81502492496976853</v>
      </c>
      <c r="AM81" s="28">
        <f>INDEX(LINEST(LN(AV81:AZ81),LN(AV80:AZ80)),1)</f>
        <v>-0.10598219026252227</v>
      </c>
      <c r="AN81" s="28">
        <f>EXP(INDEX(LINEST(LN(AV81:AZ81),LN(AV80:AZ80)),1,2))</f>
        <v>7.4530701599119142</v>
      </c>
      <c r="AO81" s="47">
        <f>INDEX(LINEST((AV81:AZ81),LN(AV80:AZ80),TRUE,TRUE),3,1)</f>
        <v>0.86354364162581954</v>
      </c>
      <c r="AP81" s="47">
        <f>INDEX(LINEST((AV81:AZ81),LN(AV80:AZ80)),1)</f>
        <v>-0.22115661271043477</v>
      </c>
      <c r="AQ81" s="48">
        <f>INDEX(LINEST(LN(AV81:AZ81),SQRT(AV80:AZ80),TRUE,TRUE),3,1)</f>
        <v>0.91687995650452692</v>
      </c>
      <c r="AR81" s="56">
        <f>INDEX(LINEST(LN(AV81:AZ81),SQRT((AV80:AZ80))),1)</f>
        <v>-3.5655703989402631E-4</v>
      </c>
      <c r="AS81" s="49">
        <f>INDEX(LINEST(1/(AV81:AZ81),1/(SQRT(AV80:AZ80)),TRUE,TRUE),3,1)</f>
        <v>0.36860891697760145</v>
      </c>
      <c r="AT81" s="49">
        <f>INDEX(LINEST(1/(AV81:AZ81),1/SQRT(AV80:AZ80)),1)</f>
        <v>-9.423014272544135</v>
      </c>
      <c r="AU81" s="3"/>
      <c r="AV81" s="25">
        <v>3.1264322293123898</v>
      </c>
      <c r="AW81" s="25">
        <v>2.8527640656528299</v>
      </c>
      <c r="AX81" s="25">
        <v>2.0935243364694398</v>
      </c>
      <c r="AY81" s="25">
        <v>1.39487615635232</v>
      </c>
      <c r="AZ81" s="25">
        <v>1.2200647439617101</v>
      </c>
      <c r="BA81" s="25"/>
      <c r="BB81" s="25"/>
      <c r="BC81" s="25"/>
      <c r="BD81" s="25"/>
      <c r="BE81" s="25"/>
      <c r="BF81" s="25"/>
      <c r="BG81" s="25"/>
      <c r="BH81" s="25"/>
      <c r="BI81" s="25"/>
      <c r="BJ81" s="25"/>
      <c r="BK81" s="25"/>
      <c r="BL81" s="20"/>
      <c r="BM81" s="20"/>
      <c r="BN81" s="20"/>
      <c r="BO81" s="20"/>
      <c r="BP81" s="20"/>
      <c r="BQ81" s="20"/>
      <c r="BR81" s="20"/>
      <c r="BS81" s="20"/>
      <c r="BT81" s="20"/>
      <c r="BU81" s="20"/>
      <c r="BV81" s="20"/>
      <c r="BW81" s="20"/>
      <c r="BX81" s="20"/>
      <c r="BY81" s="20"/>
      <c r="BZ81" s="20"/>
      <c r="CA81" s="20"/>
      <c r="CB81" s="20"/>
      <c r="CC81" s="20"/>
      <c r="CD81" s="20"/>
      <c r="CE81" s="20"/>
      <c r="CF81" s="20"/>
      <c r="CG81" s="20"/>
      <c r="CH81" s="20"/>
      <c r="CI81" s="20"/>
      <c r="CJ81" s="20"/>
      <c r="CK81" s="20"/>
      <c r="CL81" s="20"/>
      <c r="CM81" s="20"/>
      <c r="CN81" s="20"/>
      <c r="CO81" s="20"/>
      <c r="CP81" s="20"/>
      <c r="CQ81" s="20"/>
      <c r="CR81" s="1"/>
      <c r="CS81" s="1"/>
      <c r="CT81" s="1"/>
      <c r="CU81" s="1"/>
    </row>
    <row r="82" spans="1:99" s="9" customFormat="1" ht="12" customHeight="1" x14ac:dyDescent="0.2">
      <c r="A82" s="37">
        <v>43509</v>
      </c>
      <c r="B82" s="1"/>
      <c r="C82" s="1"/>
      <c r="D82" s="32"/>
      <c r="E82" s="41"/>
      <c r="F82" s="32"/>
      <c r="G82" s="32"/>
      <c r="H82" s="32"/>
      <c r="I82" s="32"/>
      <c r="J82" s="32"/>
      <c r="K82" s="36"/>
      <c r="L82" s="36"/>
      <c r="M82" s="32"/>
      <c r="N82" s="32"/>
      <c r="O82" s="32"/>
      <c r="P82" s="32"/>
      <c r="Q82" s="32"/>
      <c r="R82" s="32"/>
      <c r="S82" s="32"/>
      <c r="T82" s="32"/>
      <c r="U82" s="32"/>
      <c r="V82" s="32"/>
      <c r="W82" s="32"/>
      <c r="X82" s="32"/>
      <c r="Y82" s="41"/>
      <c r="Z82" s="32"/>
      <c r="AA82" s="32"/>
      <c r="AB82" s="32"/>
      <c r="AC82" s="32"/>
      <c r="AD82" s="32"/>
      <c r="AE82" s="32"/>
      <c r="AF82" s="45"/>
      <c r="AG82" s="28"/>
      <c r="AH82" s="4"/>
      <c r="AI82" s="28"/>
      <c r="AJ82" s="51"/>
      <c r="AK82" s="28"/>
      <c r="AL82" s="28"/>
      <c r="AM82" s="28"/>
      <c r="AN82" s="28"/>
      <c r="AO82" s="28"/>
      <c r="AP82" s="28"/>
      <c r="AQ82" s="47"/>
      <c r="AR82" s="55"/>
      <c r="AS82" s="47"/>
      <c r="AT82" s="47"/>
      <c r="AU82" s="4"/>
      <c r="AV82" s="18">
        <v>576</v>
      </c>
      <c r="AW82" s="18">
        <f>24*3600*2</f>
        <v>172800</v>
      </c>
      <c r="AX82" s="18">
        <f>24*3600*7</f>
        <v>604800</v>
      </c>
      <c r="AY82" s="25"/>
      <c r="AZ82" s="25"/>
      <c r="BA82" s="25"/>
      <c r="BB82" s="25"/>
      <c r="BC82" s="25"/>
      <c r="BD82" s="25"/>
      <c r="BE82" s="25"/>
      <c r="BF82" s="25"/>
      <c r="BG82" s="25"/>
      <c r="BH82" s="25"/>
      <c r="BI82" s="25"/>
      <c r="BJ82" s="25"/>
      <c r="BK82" s="25"/>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1"/>
      <c r="CS82" s="1"/>
      <c r="CT82" s="1"/>
      <c r="CU82" s="1"/>
    </row>
    <row r="83" spans="1:99" s="9" customFormat="1" ht="12" customHeight="1" x14ac:dyDescent="0.2">
      <c r="A83" s="37">
        <v>43509</v>
      </c>
      <c r="B83" s="1" t="s">
        <v>49</v>
      </c>
      <c r="C83" s="1" t="s">
        <v>33</v>
      </c>
      <c r="D83" s="32">
        <v>2001</v>
      </c>
      <c r="E83" s="41">
        <v>2</v>
      </c>
      <c r="F83" s="32">
        <v>72</v>
      </c>
      <c r="G83" s="32">
        <v>24</v>
      </c>
      <c r="H83" s="32" t="s">
        <v>14</v>
      </c>
      <c r="I83" s="32" t="s">
        <v>155</v>
      </c>
      <c r="J83" s="32" t="s">
        <v>12</v>
      </c>
      <c r="K83" s="32">
        <f>IF(J83="syllables",1,IF(J83="trigrams",2,IF(J83="strings",3,IF(J83="visual array",4,IF(J83="characters",5,IF(J83="letters",6,IF(J83="free forms",7,IF(J83="odors",8,IF(J83="words",9,IF(J83="pictures",10,IF(J83="object pictures",11,IF(J83="faces",12,IF(J83="names",13,IF(J83="idioms",14,IF(J83="grades",15,IF(J83="syllable-digit pairs",16,IF(J83="trigram-word pairs",17,IF(J83="word-digit pairs",18,IF(J83="English-Swahili pairs",19,IF(J83="spatial position",20,IF(J83="word pairs",21,IF(J83="word triads",22,IF(J83="generated words",23,IF(J83="word definition pairs",24,IF(J83="math problems",25,IF(J83="famous faces",26,IF(J83="famous names",27,IF(J83="famous voices",28,IF(J83="television programs",29,IF(J83="race horses",30,IF(J83="new vocabulary",31,IF(J83="sentences",32,IF(J83="concepts",33,IF(J83="ad slides",34,IF(J83="scenes",35,IF(J83="famous scenes",36,IF(J83="poems",37,IF(J83="walk",38,IF(J83="faces and events",39,IF(J83="events and names",40,IF(J83="flashbulb",41,IF(J83="stories",42,IF(J83="course material",43,IF(J83="autobiographical",44,IF(J83="novels",45,IF(J83="public events",46,"99"))))))))))))))))))))))))))))))))))))))))))))))</f>
        <v>9</v>
      </c>
      <c r="L83" s="32">
        <f>IF(J83="syllables",1,IF(J83="trigrams",1,IF(J83="strings",1,IF(J83="visual array",1,IF(J83="characters",1,IF(J83="letters",1,IF(J83="free forms",1,IF(J83="odors",2,IF(J83="words",2,IF(J83="pictures",2,IF(J83="object pictures",2,IF(J83="faces",2,IF(J83="names",2,IF(J83="idioms","2",IF(J83="grades",2,IF(J83="syllable-digit pairs",3,IF(J83="trigram-word pairs",3,IF(J83="word-digit pairs",3,IF(J83="English-Swahili pairs",3,IF(J83="spatial position",3,IF(J83="word pairs",4,IF(J83="word triads",4,IF(J83="generated words",4,IF(J83="word definition pairs",4,IF(J83="math problems",4,IF(J83="famous faces",4,IF(J83="famous names",4,IF(J83="famous voices",4,IF(J83="television programs",4,IF(J83="race horses",4,IF(J83="new vocabulary",4,IF(J83="sentences",5,IF(J83="concepts",5,IF(J83="ad slides",5,IF(J83="scenes",5,IF(J83="famous scenes",5,IF(J83="poems",6,IF(J83="walk",6,IF(J83="faces and events",6,IF(J83="events and names",6,IF(J83="flashbulb",7,IF(J83="stories",7,IF(J83="course material",7,IF(J83="autobiographical",7,IF(J83="novels",7,IF(J83="public events",7,"99"))))))))))))))))))))))))))))))))))))))))))))))</f>
        <v>2</v>
      </c>
      <c r="M83" s="32">
        <v>0</v>
      </c>
      <c r="N83" s="32">
        <v>1</v>
      </c>
      <c r="O83" s="32">
        <v>0</v>
      </c>
      <c r="P83" s="32"/>
      <c r="Q83" s="32" t="s">
        <v>18</v>
      </c>
      <c r="R83" s="32">
        <f>IF(Q83="Free Recall",1,IF(Q83="Cued Recall",2,IF(Q83="Recognition",3,IF(Q83="Multiple Choice",4,IF(Q83="Savings",5,IF(Q83="Stem Completion",6,IF(Q83="Fragment Completion",7,IF(Q83="anagram solution",8,IF(Q83="Matching",9,IF(Q83="Problem Solving",10,"99"))))))))))</f>
        <v>3</v>
      </c>
      <c r="S83" s="77" t="s">
        <v>196</v>
      </c>
      <c r="T83" s="32" t="s">
        <v>72</v>
      </c>
      <c r="U83" s="32">
        <f>IF(T83="within",1,0)</f>
        <v>0</v>
      </c>
      <c r="V83" s="32">
        <v>288</v>
      </c>
      <c r="W83" s="32">
        <f>F83*V83</f>
        <v>20736</v>
      </c>
      <c r="X83" s="32">
        <v>3</v>
      </c>
      <c r="Y83" s="41">
        <f>AV82</f>
        <v>576</v>
      </c>
      <c r="Z83" s="32" t="s">
        <v>41</v>
      </c>
      <c r="AA83" s="32">
        <v>604800</v>
      </c>
      <c r="AB83" s="32" t="str">
        <f>IF(AA83&lt;60,"1",IF(AA83&lt;=43200,"2",IF(AA83&lt;=777600,"3","4")))</f>
        <v>3</v>
      </c>
      <c r="AC83" s="28">
        <f>AVERAGE(AV82:DA82)</f>
        <v>259392</v>
      </c>
      <c r="AD83" s="32" t="str">
        <f>IF(AC83&lt;60,"1",IF(AC83&lt;=43200,"2",IF(AC83&lt;=777600,"3","4")))</f>
        <v>3</v>
      </c>
      <c r="AE83" s="41">
        <f>AA83-Y83</f>
        <v>604224</v>
      </c>
      <c r="AF83" s="45">
        <f>AV83</f>
        <v>3.0322376367967703</v>
      </c>
      <c r="AG83" s="28">
        <f>((AW83-AV83)+(AX83-AW83))/2</f>
        <v>-0.93094876962661743</v>
      </c>
      <c r="AH83" s="4"/>
      <c r="AI83" s="28">
        <f>RSQ(AV83:AX83,AV82:AX82)</f>
        <v>0.62492589914768337</v>
      </c>
      <c r="AJ83" s="51">
        <f>SLOPE(AV83:AX83,AV82:AX82)</f>
        <v>-2.5844693638728225E-6</v>
      </c>
      <c r="AK83" s="28">
        <f>INTERCEPT(AV83:AX83,AV82:AX82)</f>
        <v>2.5343375067769536</v>
      </c>
      <c r="AL83" s="28">
        <f>INDEX(LINEST(LN(AV83:AX83),LN(AV82:AX82),TRUE,TRUE),3,1)</f>
        <v>0.9999999983865413</v>
      </c>
      <c r="AM83" s="28">
        <f>INDEX(LINEST(LN(AV83:AX83),LN(AV82:AX82)),1)</f>
        <v>-0.13684843067023847</v>
      </c>
      <c r="AN83" s="28">
        <f>EXP(INDEX(LINEST(LN(AV83:AX83),LN(AV82:AX82)),1,2))</f>
        <v>7.2364313348111056</v>
      </c>
      <c r="AO83" s="47">
        <f>INDEX(LINEST((AV83:AX83),LN(AV82:AX82),TRUE,TRUE),3,1)</f>
        <v>0.99616443319401582</v>
      </c>
      <c r="AP83" s="47">
        <f>INDEX(LINEST((AV83:AX83),LN(AV82:AX82)),1)</f>
        <v>-0.27392581566916135</v>
      </c>
      <c r="AQ83" s="48">
        <f>INDEX(LINEST(LN(AV83:AX83),SQRT(AV82:AX82),TRUE,TRUE),3,1)</f>
        <v>0.89433650434760348</v>
      </c>
      <c r="AR83" s="56">
        <f>INDEX(LINEST(LN(AV83:AX83),SQRT((AV82:AX82))),1)</f>
        <v>-1.27308343190311E-3</v>
      </c>
      <c r="AS83" s="49">
        <f>INDEX(LINEST(1/(AV83:AX83),1/(SQRT(AV82:AX82)),TRUE,TRUE),3,1)</f>
        <v>0.95009247928899332</v>
      </c>
      <c r="AT83" s="49">
        <f>INDEX(LINEST(1/(AV83:AX83),1/SQRT(AV82:AX82)),1)</f>
        <v>-11.549376876272369</v>
      </c>
      <c r="AU83" s="3"/>
      <c r="AV83" s="25">
        <v>3.0322376367967703</v>
      </c>
      <c r="AW83" s="25">
        <v>1.3892627542894569</v>
      </c>
      <c r="AX83" s="25">
        <v>1.1703400975435354</v>
      </c>
      <c r="AY83" s="25"/>
      <c r="AZ83" s="25"/>
      <c r="BA83" s="25"/>
      <c r="BB83" s="25"/>
      <c r="BC83" s="25"/>
      <c r="BD83" s="25"/>
      <c r="BE83" s="25"/>
      <c r="BF83" s="25"/>
      <c r="BG83" s="25"/>
      <c r="BH83" s="25"/>
      <c r="BI83" s="25"/>
      <c r="BJ83" s="25"/>
      <c r="BK83" s="25"/>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1"/>
      <c r="CS83" s="1"/>
      <c r="CT83" s="1"/>
      <c r="CU83" s="1"/>
    </row>
    <row r="84" spans="1:99" s="9" customFormat="1" ht="12" customHeight="1" x14ac:dyDescent="0.2">
      <c r="A84" s="37">
        <v>43509</v>
      </c>
      <c r="B84" s="1"/>
      <c r="C84" s="1"/>
      <c r="D84" s="32"/>
      <c r="E84" s="41"/>
      <c r="F84" s="32"/>
      <c r="G84" s="32"/>
      <c r="H84" s="32"/>
      <c r="I84" s="32"/>
      <c r="J84" s="32"/>
      <c r="K84" s="36"/>
      <c r="L84" s="36"/>
      <c r="M84" s="32"/>
      <c r="N84" s="32"/>
      <c r="O84" s="32"/>
      <c r="P84" s="32"/>
      <c r="Q84" s="32"/>
      <c r="R84" s="32"/>
      <c r="S84" s="77"/>
      <c r="T84" s="32"/>
      <c r="U84" s="32"/>
      <c r="V84" s="32"/>
      <c r="W84" s="32"/>
      <c r="X84" s="32"/>
      <c r="Y84" s="41"/>
      <c r="Z84" s="32"/>
      <c r="AA84" s="32"/>
      <c r="AB84" s="32"/>
      <c r="AC84" s="32"/>
      <c r="AD84" s="32"/>
      <c r="AE84" s="32"/>
      <c r="AF84" s="45"/>
      <c r="AG84" s="28"/>
      <c r="AH84" s="4"/>
      <c r="AI84" s="28"/>
      <c r="AJ84" s="51"/>
      <c r="AK84" s="28"/>
      <c r="AL84" s="28"/>
      <c r="AM84" s="28"/>
      <c r="AN84" s="28"/>
      <c r="AO84" s="28"/>
      <c r="AP84" s="28"/>
      <c r="AQ84" s="47"/>
      <c r="AR84" s="55"/>
      <c r="AS84" s="47"/>
      <c r="AT84" s="47"/>
      <c r="AU84" s="4"/>
      <c r="AV84" s="18">
        <v>576</v>
      </c>
      <c r="AW84" s="18">
        <f>24*3600*2</f>
        <v>172800</v>
      </c>
      <c r="AX84" s="18">
        <f>24*3600*7</f>
        <v>604800</v>
      </c>
      <c r="AY84" s="25"/>
      <c r="AZ84" s="25"/>
      <c r="BA84" s="25"/>
      <c r="BB84" s="25"/>
      <c r="BC84" s="25"/>
      <c r="BD84" s="25"/>
      <c r="BE84" s="25"/>
      <c r="BF84" s="25"/>
      <c r="BG84" s="25"/>
      <c r="BH84" s="25"/>
      <c r="BI84" s="25"/>
      <c r="BJ84" s="25"/>
      <c r="BK84" s="25"/>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1"/>
      <c r="CS84" s="1"/>
      <c r="CT84" s="1"/>
      <c r="CU84" s="1"/>
    </row>
    <row r="85" spans="1:99" s="9" customFormat="1" ht="12" customHeight="1" x14ac:dyDescent="0.2">
      <c r="A85" s="37">
        <v>43509</v>
      </c>
      <c r="B85" s="1" t="s">
        <v>49</v>
      </c>
      <c r="C85" s="1" t="s">
        <v>33</v>
      </c>
      <c r="D85" s="32">
        <v>2001</v>
      </c>
      <c r="E85" s="41">
        <v>2</v>
      </c>
      <c r="F85" s="32">
        <v>72</v>
      </c>
      <c r="G85" s="32">
        <v>24</v>
      </c>
      <c r="H85" s="32" t="s">
        <v>14</v>
      </c>
      <c r="I85" s="32" t="s">
        <v>116</v>
      </c>
      <c r="J85" s="32" t="s">
        <v>12</v>
      </c>
      <c r="K85" s="32">
        <f>IF(J85="syllables",1,IF(J85="trigrams",2,IF(J85="strings",3,IF(J85="visual array",4,IF(J85="characters",5,IF(J85="letters",6,IF(J85="free forms",7,IF(J85="odors",8,IF(J85="words",9,IF(J85="pictures",10,IF(J85="object pictures",11,IF(J85="faces",12,IF(J85="names",13,IF(J85="idioms",14,IF(J85="grades",15,IF(J85="syllable-digit pairs",16,IF(J85="trigram-word pairs",17,IF(J85="word-digit pairs",18,IF(J85="English-Swahili pairs",19,IF(J85="spatial position",20,IF(J85="word pairs",21,IF(J85="word triads",22,IF(J85="generated words",23,IF(J85="word definition pairs",24,IF(J85="math problems",25,IF(J85="famous faces",26,IF(J85="famous names",27,IF(J85="famous voices",28,IF(J85="television programs",29,IF(J85="race horses",30,IF(J85="new vocabulary",31,IF(J85="sentences",32,IF(J85="concepts",33,IF(J85="ad slides",34,IF(J85="scenes",35,IF(J85="famous scenes",36,IF(J85="poems",37,IF(J85="walk",38,IF(J85="faces and events",39,IF(J85="events and names",40,IF(J85="flashbulb",41,IF(J85="stories",42,IF(J85="course material",43,IF(J85="autobiographical",44,IF(J85="novels",45,IF(J85="public events",46,"99"))))))))))))))))))))))))))))))))))))))))))))))</f>
        <v>9</v>
      </c>
      <c r="L85" s="32">
        <f>IF(J85="syllables",1,IF(J85="trigrams",1,IF(J85="strings",1,IF(J85="visual array",1,IF(J85="characters",1,IF(J85="letters",1,IF(J85="free forms",1,IF(J85="odors",2,IF(J85="words",2,IF(J85="pictures",2,IF(J85="object pictures",2,IF(J85="faces",2,IF(J85="names",2,IF(J85="idioms","2",IF(J85="grades",2,IF(J85="syllable-digit pairs",3,IF(J85="trigram-word pairs",3,IF(J85="word-digit pairs",3,IF(J85="English-Swahili pairs",3,IF(J85="spatial position",3,IF(J85="word pairs",4,IF(J85="word triads",4,IF(J85="generated words",4,IF(J85="word definition pairs",4,IF(J85="math problems",4,IF(J85="famous faces",4,IF(J85="famous names",4,IF(J85="famous voices",4,IF(J85="television programs",4,IF(J85="race horses",4,IF(J85="new vocabulary",4,IF(J85="sentences",5,IF(J85="concepts",5,IF(J85="ad slides",5,IF(J85="scenes",5,IF(J85="famous scenes",5,IF(J85="poems",6,IF(J85="walk",6,IF(J85="faces and events",6,IF(J85="events and names",6,IF(J85="flashbulb",7,IF(J85="stories",7,IF(J85="course material",7,IF(J85="autobiographical",7,IF(J85="novels",7,IF(J85="public events",7,"99"))))))))))))))))))))))))))))))))))))))))))))))</f>
        <v>2</v>
      </c>
      <c r="M85" s="32">
        <v>0</v>
      </c>
      <c r="N85" s="32">
        <v>1</v>
      </c>
      <c r="O85" s="32">
        <v>0</v>
      </c>
      <c r="P85" s="32"/>
      <c r="Q85" s="32" t="s">
        <v>18</v>
      </c>
      <c r="R85" s="32">
        <f>IF(Q85="Free Recall",1,IF(Q85="Cued Recall",2,IF(Q85="Recognition",3,IF(Q85="Multiple Choice",4,IF(Q85="Savings",5,IF(Q85="Stem Completion",6,IF(Q85="Fragment Completion",7,IF(Q85="anagram solution",8,IF(Q85="Matching",9,IF(Q85="Problem Solving",10,"99"))))))))))</f>
        <v>3</v>
      </c>
      <c r="S85" s="77" t="s">
        <v>196</v>
      </c>
      <c r="T85" s="32" t="s">
        <v>72</v>
      </c>
      <c r="U85" s="32">
        <f>IF(T85="within",1,0)</f>
        <v>0</v>
      </c>
      <c r="V85" s="32">
        <v>288</v>
      </c>
      <c r="W85" s="32">
        <f>F85*V85</f>
        <v>20736</v>
      </c>
      <c r="X85" s="32">
        <v>3</v>
      </c>
      <c r="Y85" s="41">
        <f>AV84</f>
        <v>576</v>
      </c>
      <c r="Z85" s="32" t="s">
        <v>41</v>
      </c>
      <c r="AA85" s="32">
        <v>604800</v>
      </c>
      <c r="AB85" s="32" t="str">
        <f>IF(AA85&lt;60,"1",IF(AA85&lt;=43200,"2",IF(AA85&lt;=777600,"3","4")))</f>
        <v>3</v>
      </c>
      <c r="AC85" s="28">
        <f>AVERAGE(AV84:DA84)</f>
        <v>259392</v>
      </c>
      <c r="AD85" s="32" t="str">
        <f>IF(AC85&lt;60,"1",IF(AC85&lt;=43200,"2",IF(AC85&lt;=777600,"3","4")))</f>
        <v>3</v>
      </c>
      <c r="AE85" s="41">
        <f>AA85-Y85</f>
        <v>604224</v>
      </c>
      <c r="AF85" s="45">
        <f>AV85</f>
        <v>1.5487925921103185</v>
      </c>
      <c r="AG85" s="28">
        <f>((AW85-AV85)+(AX85-AW85))/2</f>
        <v>-0.43828403999100185</v>
      </c>
      <c r="AH85" s="4"/>
      <c r="AI85" s="28">
        <f>RSQ(AV85:AX85,AV84:AX84)</f>
        <v>0.48060844551595716</v>
      </c>
      <c r="AJ85" s="51">
        <f>SLOPE(AV85:AX85,AV84:AX84)</f>
        <v>-1.1531669233922408E-6</v>
      </c>
      <c r="AK85" s="28">
        <f>INTERCEPT(AV85:AX85,AV84:AX84)</f>
        <v>1.2504596729174211</v>
      </c>
      <c r="AL85" s="28">
        <f>INDEX(LINEST(LN(AV85:AX85),LN(AV84:AX84),TRUE,TRUE),3,1)</f>
        <v>0.94807531256110089</v>
      </c>
      <c r="AM85" s="28">
        <f>INDEX(LINEST(LN(AV85:AX85),LN(AV84:AX84)),1)</f>
        <v>-0.13133275041199524</v>
      </c>
      <c r="AN85" s="28">
        <f>EXP(INDEX(LINEST(LN(AV85:AX85),LN(AV84:AX84)),1,2))</f>
        <v>3.4903791790800467</v>
      </c>
      <c r="AO85" s="47">
        <f>INDEX(LINEST((AV85:AX85),LN(AV84:AX84),TRUE,TRUE),3,1)</f>
        <v>0.95750507279464359</v>
      </c>
      <c r="AP85" s="47">
        <f>INDEX(LINEST((AV85:AX85),LN(AV84:AX84)),1)</f>
        <v>-0.13663983869456767</v>
      </c>
      <c r="AQ85" s="48">
        <f>INDEX(LINEST(LN(AV85:AX85),SQRT(AV84:AX84),TRUE,TRUE),3,1)</f>
        <v>0.71693710807450195</v>
      </c>
      <c r="AR85" s="56">
        <f>INDEX(LINEST(LN(AV85:AX85),SQRT((AV84:AX84))),1)</f>
        <v>-1.1234628497298312E-3</v>
      </c>
      <c r="AS85" s="49">
        <f>INDEX(LINEST(1/(AV85:AX85),1/(SQRT(AV84:AX84)),TRUE,TRUE),3,1)</f>
        <v>0.98705679046040895</v>
      </c>
      <c r="AT85" s="49">
        <f>INDEX(LINEST(1/(AV85:AX85),1/SQRT(AV84:AX84)),1)</f>
        <v>-22.238582587373347</v>
      </c>
      <c r="AU85" s="3"/>
      <c r="AV85" s="25">
        <v>1.5487925921103185</v>
      </c>
      <c r="AW85" s="25">
        <v>0.63299509073594995</v>
      </c>
      <c r="AX85" s="25">
        <v>0.6722245121283148</v>
      </c>
      <c r="AY85" s="25"/>
      <c r="AZ85" s="25"/>
      <c r="BA85" s="25"/>
      <c r="BB85" s="25"/>
      <c r="BC85" s="25"/>
      <c r="BD85" s="25"/>
      <c r="BE85" s="25"/>
      <c r="BF85" s="25"/>
      <c r="BG85" s="25"/>
      <c r="BH85" s="25"/>
      <c r="BI85" s="25"/>
      <c r="BJ85" s="25"/>
      <c r="BK85" s="25"/>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1"/>
      <c r="CS85" s="1"/>
      <c r="CT85" s="1"/>
      <c r="CU85" s="1"/>
    </row>
    <row r="86" spans="1:99" s="9" customFormat="1" ht="12" customHeight="1" x14ac:dyDescent="0.2">
      <c r="A86" s="37">
        <v>43509</v>
      </c>
      <c r="B86" s="1"/>
      <c r="C86" s="1"/>
      <c r="D86" s="32"/>
      <c r="E86" s="41"/>
      <c r="F86" s="32"/>
      <c r="G86" s="32"/>
      <c r="H86" s="32"/>
      <c r="I86" s="32"/>
      <c r="J86" s="32"/>
      <c r="K86" s="36"/>
      <c r="L86" s="36"/>
      <c r="M86" s="32"/>
      <c r="N86" s="32"/>
      <c r="O86" s="32"/>
      <c r="P86" s="32"/>
      <c r="Q86" s="32"/>
      <c r="R86" s="32"/>
      <c r="S86" s="77"/>
      <c r="T86" s="32"/>
      <c r="U86" s="32"/>
      <c r="V86" s="32"/>
      <c r="W86" s="32"/>
      <c r="X86" s="32"/>
      <c r="Y86" s="41"/>
      <c r="Z86" s="32"/>
      <c r="AA86" s="32"/>
      <c r="AB86" s="32"/>
      <c r="AC86" s="32"/>
      <c r="AD86" s="32"/>
      <c r="AE86" s="32"/>
      <c r="AF86" s="45"/>
      <c r="AG86" s="28"/>
      <c r="AH86" s="4"/>
      <c r="AI86" s="28"/>
      <c r="AJ86" s="51"/>
      <c r="AK86" s="28"/>
      <c r="AL86" s="28"/>
      <c r="AM86" s="28"/>
      <c r="AN86" s="28"/>
      <c r="AO86" s="28"/>
      <c r="AP86" s="28"/>
      <c r="AQ86" s="47"/>
      <c r="AR86" s="55"/>
      <c r="AS86" s="47"/>
      <c r="AT86" s="47"/>
      <c r="AU86" s="4"/>
      <c r="AV86" s="18">
        <v>576</v>
      </c>
      <c r="AW86" s="18">
        <f>24*3600*2</f>
        <v>172800</v>
      </c>
      <c r="AX86" s="18">
        <f>24*3600*7</f>
        <v>604800</v>
      </c>
      <c r="AY86" s="25"/>
      <c r="AZ86" s="25"/>
      <c r="BA86" s="25"/>
      <c r="BB86" s="25"/>
      <c r="BC86" s="25"/>
      <c r="BD86" s="25"/>
      <c r="BE86" s="25"/>
      <c r="BF86" s="25"/>
      <c r="BG86" s="25"/>
      <c r="BH86" s="25"/>
      <c r="BI86" s="25"/>
      <c r="BJ86" s="25"/>
      <c r="BK86" s="25"/>
      <c r="BL86" s="22"/>
      <c r="BM86" s="22"/>
      <c r="BN86" s="22"/>
      <c r="BO86" s="22"/>
      <c r="BP86" s="22"/>
      <c r="BQ86" s="22"/>
      <c r="BR86" s="22"/>
      <c r="BS86" s="22"/>
      <c r="BT86" s="22"/>
      <c r="BU86" s="22"/>
      <c r="BV86" s="22"/>
      <c r="BW86" s="22"/>
      <c r="BX86" s="22"/>
      <c r="BY86" s="22"/>
      <c r="BZ86" s="22"/>
      <c r="CA86" s="22"/>
      <c r="CB86" s="22"/>
      <c r="CC86" s="22"/>
      <c r="CD86" s="22"/>
      <c r="CE86" s="22"/>
      <c r="CF86" s="22"/>
      <c r="CG86" s="22"/>
      <c r="CH86" s="22"/>
      <c r="CI86" s="22"/>
      <c r="CJ86" s="22"/>
      <c r="CK86" s="22"/>
      <c r="CL86" s="22"/>
      <c r="CM86" s="22"/>
      <c r="CN86" s="22"/>
      <c r="CO86" s="22"/>
      <c r="CP86" s="22"/>
      <c r="CQ86" s="22"/>
      <c r="CR86" s="1"/>
      <c r="CS86" s="1"/>
      <c r="CT86" s="1"/>
      <c r="CU86" s="1"/>
    </row>
    <row r="87" spans="1:99" s="9" customFormat="1" ht="12" customHeight="1" x14ac:dyDescent="0.2">
      <c r="A87" s="37">
        <v>43509</v>
      </c>
      <c r="B87" s="1" t="s">
        <v>49</v>
      </c>
      <c r="C87" s="1" t="s">
        <v>33</v>
      </c>
      <c r="D87" s="32">
        <v>2001</v>
      </c>
      <c r="E87" s="41">
        <v>2</v>
      </c>
      <c r="F87" s="32">
        <v>72</v>
      </c>
      <c r="G87" s="32">
        <v>24</v>
      </c>
      <c r="H87" s="32" t="s">
        <v>14</v>
      </c>
      <c r="I87" s="32" t="s">
        <v>156</v>
      </c>
      <c r="J87" s="32" t="s">
        <v>12</v>
      </c>
      <c r="K87" s="32">
        <f>IF(J87="syllables",1,IF(J87="trigrams",2,IF(J87="strings",3,IF(J87="visual array",4,IF(J87="characters",5,IF(J87="letters",6,IF(J87="free forms",7,IF(J87="odors",8,IF(J87="words",9,IF(J87="pictures",10,IF(J87="object pictures",11,IF(J87="faces",12,IF(J87="names",13,IF(J87="idioms",14,IF(J87="grades",15,IF(J87="syllable-digit pairs",16,IF(J87="trigram-word pairs",17,IF(J87="word-digit pairs",18,IF(J87="English-Swahili pairs",19,IF(J87="spatial position",20,IF(J87="word pairs",21,IF(J87="word triads",22,IF(J87="generated words",23,IF(J87="word definition pairs",24,IF(J87="math problems",25,IF(J87="famous faces",26,IF(J87="famous names",27,IF(J87="famous voices",28,IF(J87="television programs",29,IF(J87="race horses",30,IF(J87="new vocabulary",31,IF(J87="sentences",32,IF(J87="concepts",33,IF(J87="ad slides",34,IF(J87="scenes",35,IF(J87="famous scenes",36,IF(J87="poems",37,IF(J87="walk",38,IF(J87="faces and events",39,IF(J87="events and names",40,IF(J87="flashbulb",41,IF(J87="stories",42,IF(J87="course material",43,IF(J87="autobiographical",44,IF(J87="novels",45,IF(J87="public events",46,"99"))))))))))))))))))))))))))))))))))))))))))))))</f>
        <v>9</v>
      </c>
      <c r="L87" s="32">
        <f>IF(J87="syllables",1,IF(J87="trigrams",1,IF(J87="strings",1,IF(J87="visual array",1,IF(J87="characters",1,IF(J87="letters",1,IF(J87="free forms",1,IF(J87="odors",2,IF(J87="words",2,IF(J87="pictures",2,IF(J87="object pictures",2,IF(J87="faces",2,IF(J87="names",2,IF(J87="idioms","2",IF(J87="grades",2,IF(J87="syllable-digit pairs",3,IF(J87="trigram-word pairs",3,IF(J87="word-digit pairs",3,IF(J87="English-Swahili pairs",3,IF(J87="spatial position",3,IF(J87="word pairs",4,IF(J87="word triads",4,IF(J87="generated words",4,IF(J87="word definition pairs",4,IF(J87="math problems",4,IF(J87="famous faces",4,IF(J87="famous names",4,IF(J87="famous voices",4,IF(J87="television programs",4,IF(J87="race horses",4,IF(J87="new vocabulary",4,IF(J87="sentences",5,IF(J87="concepts",5,IF(J87="ad slides",5,IF(J87="scenes",5,IF(J87="famous scenes",5,IF(J87="poems",6,IF(J87="walk",6,IF(J87="faces and events",6,IF(J87="events and names",6,IF(J87="flashbulb",7,IF(J87="stories",7,IF(J87="course material",7,IF(J87="autobiographical",7,IF(J87="novels",7,IF(J87="public events",7,"99"))))))))))))))))))))))))))))))))))))))))))))))</f>
        <v>2</v>
      </c>
      <c r="M87" s="32">
        <v>0</v>
      </c>
      <c r="N87" s="32">
        <v>1</v>
      </c>
      <c r="O87" s="32">
        <v>0</v>
      </c>
      <c r="P87" s="32"/>
      <c r="Q87" s="32" t="s">
        <v>18</v>
      </c>
      <c r="R87" s="32">
        <f>IF(Q87="Free Recall",1,IF(Q87="Cued Recall",2,IF(Q87="Recognition",3,IF(Q87="Multiple Choice",4,IF(Q87="Savings",5,IF(Q87="Stem Completion",6,IF(Q87="Fragment Completion",7,IF(Q87="anagram solution",8,IF(Q87="Matching",9,IF(Q87="Problem Solving",10,"99"))))))))))</f>
        <v>3</v>
      </c>
      <c r="S87" s="77" t="s">
        <v>196</v>
      </c>
      <c r="T87" s="32" t="s">
        <v>72</v>
      </c>
      <c r="U87" s="32">
        <f>IF(T87="within",1,0)</f>
        <v>0</v>
      </c>
      <c r="V87" s="32">
        <v>288</v>
      </c>
      <c r="W87" s="32">
        <f>F87*V87</f>
        <v>20736</v>
      </c>
      <c r="X87" s="32">
        <v>3</v>
      </c>
      <c r="Y87" s="41">
        <f>AV86</f>
        <v>576</v>
      </c>
      <c r="Z87" s="32" t="s">
        <v>41</v>
      </c>
      <c r="AA87" s="32">
        <v>604800</v>
      </c>
      <c r="AB87" s="32" t="str">
        <f>IF(AA87&lt;60,"1",IF(AA87&lt;=43200,"2",IF(AA87&lt;=777600,"3","4")))</f>
        <v>3</v>
      </c>
      <c r="AC87" s="28">
        <f>AVERAGE(AV86:DA86)</f>
        <v>259392</v>
      </c>
      <c r="AD87" s="32" t="str">
        <f>IF(AC87&lt;60,"1",IF(AC87&lt;=43200,"2",IF(AC87&lt;=777600,"3","4")))</f>
        <v>3</v>
      </c>
      <c r="AE87" s="41">
        <f>AA87-Y87</f>
        <v>604224</v>
      </c>
      <c r="AF87" s="45">
        <f>AV87</f>
        <v>1.3382229418107645</v>
      </c>
      <c r="AG87" s="28">
        <f>((AW87-AV87)+(AX87-AW87))/2</f>
        <v>-0.42118629723165546</v>
      </c>
      <c r="AH87" s="4"/>
      <c r="AI87" s="28">
        <f>RSQ(AV87:AX87,AV86:AX86)</f>
        <v>0.61157243794703697</v>
      </c>
      <c r="AJ87" s="51">
        <f>SLOPE(AV87:AX87,AV86:AX86)</f>
        <v>-1.1638968245435149E-6</v>
      </c>
      <c r="AK87" s="28">
        <f>INTERCEPT(AV87:AX87,AV86:AX86)</f>
        <v>1.1075437905884695</v>
      </c>
      <c r="AL87" s="28">
        <f>INDEX(LINEST(LN(AV87:AX87),LN(AV86:AX86),TRUE,TRUE),3,1)</f>
        <v>0.99969598315238284</v>
      </c>
      <c r="AM87" s="28">
        <f>INDEX(LINEST(LN(AV87:AX87),LN(AV86:AX86)),1)</f>
        <v>-0.14364326742087472</v>
      </c>
      <c r="AN87" s="28">
        <f>EXP(INDEX(LINEST(LN(AV87:AX87),LN(AV86:AX86)),1,2))</f>
        <v>3.3285702291439874</v>
      </c>
      <c r="AO87" s="47">
        <f>INDEX(LINEST((AV87:AX87),LN(AV86:AX86),TRUE,TRUE),3,1)</f>
        <v>0.99427811656421505</v>
      </c>
      <c r="AP87" s="47">
        <f>INDEX(LINEST((AV87:AX87),LN(AV86:AX86)),1)</f>
        <v>-0.12458185483735776</v>
      </c>
      <c r="AQ87" s="48">
        <f>INDEX(LINEST(LN(AV87:AX87),SQRT(AV86:AX86),TRUE,TRUE),3,1)</f>
        <v>0.88335265159697651</v>
      </c>
      <c r="AR87" s="56">
        <f>INDEX(LINEST(LN(AV87:AX87),SQRT((AV86:AX86))),1)</f>
        <v>-1.3282656018195446E-3</v>
      </c>
      <c r="AS87" s="49">
        <f>INDEX(LINEST(1/(AV87:AX87),1/(SQRT(AV86:AX86)),TRUE,TRUE),3,1)</f>
        <v>0.95874698004711245</v>
      </c>
      <c r="AT87" s="49">
        <f>INDEX(LINEST(1/(AV87:AX87),1/SQRT(AV86:AX86)),1)</f>
        <v>-28.242853391482328</v>
      </c>
      <c r="AU87" s="3"/>
      <c r="AV87" s="25">
        <v>1.3382229418107645</v>
      </c>
      <c r="AW87" s="25">
        <v>0.58284150727121631</v>
      </c>
      <c r="AX87" s="25">
        <v>0.49585034734745354</v>
      </c>
      <c r="AY87" s="25"/>
      <c r="AZ87" s="25"/>
      <c r="BA87" s="25"/>
      <c r="BB87" s="25"/>
      <c r="BC87" s="25"/>
      <c r="BD87" s="25"/>
      <c r="BE87" s="25"/>
      <c r="BF87" s="25"/>
      <c r="BG87" s="25"/>
      <c r="BH87" s="25"/>
      <c r="BI87" s="25"/>
      <c r="BJ87" s="25"/>
      <c r="BK87" s="25"/>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c r="CJ87" s="22"/>
      <c r="CK87" s="22"/>
      <c r="CL87" s="22"/>
      <c r="CM87" s="22"/>
      <c r="CN87" s="22"/>
      <c r="CO87" s="22"/>
      <c r="CP87" s="22"/>
      <c r="CQ87" s="22"/>
      <c r="CR87" s="1"/>
      <c r="CS87" s="1"/>
      <c r="CT87" s="1"/>
      <c r="CU87" s="1"/>
    </row>
    <row r="88" spans="1:99" s="9" customFormat="1" ht="12" customHeight="1" x14ac:dyDescent="0.2">
      <c r="A88" s="37">
        <v>43509</v>
      </c>
      <c r="B88" s="1"/>
      <c r="C88" s="1"/>
      <c r="D88" s="32"/>
      <c r="E88" s="41"/>
      <c r="F88" s="32"/>
      <c r="G88" s="32"/>
      <c r="H88" s="32"/>
      <c r="I88" s="32"/>
      <c r="J88" s="32"/>
      <c r="K88" s="36"/>
      <c r="L88" s="36"/>
      <c r="M88" s="32"/>
      <c r="N88" s="32"/>
      <c r="O88" s="32"/>
      <c r="P88" s="32"/>
      <c r="Q88" s="32"/>
      <c r="R88" s="32"/>
      <c r="S88" s="32"/>
      <c r="T88" s="32"/>
      <c r="U88" s="32"/>
      <c r="V88" s="32"/>
      <c r="W88" s="32"/>
      <c r="X88" s="32"/>
      <c r="Y88" s="41"/>
      <c r="Z88" s="32"/>
      <c r="AA88" s="32"/>
      <c r="AB88" s="32"/>
      <c r="AC88" s="32"/>
      <c r="AD88" s="32"/>
      <c r="AE88" s="32"/>
      <c r="AF88" s="45"/>
      <c r="AG88" s="28"/>
      <c r="AH88" s="4"/>
      <c r="AI88" s="28"/>
      <c r="AJ88" s="51"/>
      <c r="AK88" s="28"/>
      <c r="AL88" s="28"/>
      <c r="AM88" s="28"/>
      <c r="AN88" s="28"/>
      <c r="AO88" s="28"/>
      <c r="AP88" s="28"/>
      <c r="AQ88" s="47"/>
      <c r="AR88" s="55"/>
      <c r="AS88" s="47"/>
      <c r="AT88" s="47"/>
      <c r="AU88" s="4"/>
      <c r="AV88" s="18">
        <v>473</v>
      </c>
      <c r="AW88" s="18">
        <f>7*24*3600*1</f>
        <v>604800</v>
      </c>
      <c r="AX88" s="18">
        <f>7*24*3600*2</f>
        <v>1209600</v>
      </c>
      <c r="AY88" s="25" t="s">
        <v>113</v>
      </c>
      <c r="AZ88" s="25"/>
      <c r="BA88" s="25"/>
      <c r="BB88" s="25"/>
      <c r="BC88" s="25"/>
      <c r="BD88" s="25"/>
      <c r="BE88" s="25"/>
      <c r="BF88" s="25"/>
      <c r="BG88" s="25"/>
      <c r="BH88" s="25"/>
      <c r="BI88" s="25"/>
      <c r="BJ88" s="25"/>
      <c r="BK88" s="25"/>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1"/>
      <c r="CS88" s="1"/>
      <c r="CT88" s="1"/>
      <c r="CU88" s="1"/>
    </row>
    <row r="89" spans="1:99" s="9" customFormat="1" ht="12" customHeight="1" x14ac:dyDescent="0.2">
      <c r="A89" s="37">
        <v>43509</v>
      </c>
      <c r="B89" s="1" t="s">
        <v>57</v>
      </c>
      <c r="C89" s="1" t="s">
        <v>58</v>
      </c>
      <c r="D89" s="32">
        <v>2007</v>
      </c>
      <c r="E89" s="41">
        <v>1</v>
      </c>
      <c r="F89" s="32">
        <v>29</v>
      </c>
      <c r="G89" s="32">
        <v>29</v>
      </c>
      <c r="H89" s="32" t="s">
        <v>14</v>
      </c>
      <c r="I89" s="32"/>
      <c r="J89" s="32" t="s">
        <v>157</v>
      </c>
      <c r="K89" s="32">
        <f>IF(J89="syllables",1,IF(J89="trigrams",2,IF(J89="strings",3,IF(J89="visual array",4,IF(J89="characters",5,IF(J89="letters",6,IF(J89="free forms",7,IF(J89="odors",8,IF(J89="words",9,IF(J89="pictures",10,IF(J89="object pictures",11,IF(J89="faces",12,IF(J89="names",13,IF(J89="idioms",14,IF(J89="grades",15,IF(J89="syllable-digit pairs",16,IF(J89="trigram-word pairs",17,IF(J89="word-digit pairs",18,IF(J89="English-Swahili pairs",19,IF(J89="spatial position",20,IF(J89="word pairs",21,IF(J89="word triads",22,IF(J89="generated words",23,IF(J89="word definition pairs",24,IF(J89="math problems",25,IF(J89="famous faces",26,IF(J89="famous names",27,IF(J89="famous voices",28,IF(J89="television programs",29,IF(J89="race horses",30,IF(J89="new vocabulary",31,IF(J89="sentences",32,IF(J89="concepts",33,IF(J89="ad slides",34,IF(J89="scenes",35,IF(J89="famous scenes",36,IF(J89="poems",37,IF(J89="walk",38,IF(J89="faces and events",39,IF(J89="events and names",40,IF(J89="flashbulb",41,IF(J89="stories",42,IF(J89="course material",43,IF(J89="autobiographical",44,IF(J89="novels",45,IF(J89="public events",46,"99"))))))))))))))))))))))))))))))))))))))))))))))</f>
        <v>3</v>
      </c>
      <c r="L89" s="32">
        <f>IF(J89="syllables",1,IF(J89="trigrams",1,IF(J89="strings",1,IF(J89="visual array",1,IF(J89="characters",1,IF(J89="letters",1,IF(J89="free forms",1,IF(J89="odors",2,IF(J89="words",2,IF(J89="pictures",2,IF(J89="object pictures",2,IF(J89="faces",2,IF(J89="names",2,IF(J89="idioms","2",IF(J89="grades",2,IF(J89="syllable-digit pairs",3,IF(J89="trigram-word pairs",3,IF(J89="word-digit pairs",3,IF(J89="English-Swahili pairs",3,IF(J89="spatial position",3,IF(J89="word pairs",4,IF(J89="word triads",4,IF(J89="generated words",4,IF(J89="word definition pairs",4,IF(J89="math problems",4,IF(J89="famous faces",4,IF(J89="famous names",4,IF(J89="famous voices",4,IF(J89="television programs",4,IF(J89="race horses",4,IF(J89="new vocabulary",4,IF(J89="sentences",5,IF(J89="concepts",5,IF(J89="ad slides",5,IF(J89="scenes",5,IF(J89="famous scenes",5,IF(J89="poems",6,IF(J89="walk",6,IF(J89="faces and events",6,IF(J89="events and names",6,IF(J89="flashbulb",7,IF(J89="stories",7,IF(J89="course material",7,IF(J89="autobiographical",7,IF(J89="novels",7,IF(J89="public events",7,"99"))))))))))))))))))))))))))))))))))))))))))))))</f>
        <v>1</v>
      </c>
      <c r="M89" s="32">
        <v>1</v>
      </c>
      <c r="N89" s="32">
        <v>3</v>
      </c>
      <c r="O89" s="32">
        <v>0</v>
      </c>
      <c r="P89" s="32"/>
      <c r="Q89" s="32" t="s">
        <v>18</v>
      </c>
      <c r="R89" s="32">
        <f>IF(Q89="Free Recall",1,IF(Q89="Cued Recall",2,IF(Q89="Recognition",3,IF(Q89="Multiple Choice",4,IF(Q89="Savings",5,IF(Q89="Stem Completion",6,IF(Q89="Fragment Completion",7,IF(Q89="anagram solution",8,IF(Q89="Matching",9,IF(Q89="Problem Solving",10,"99"))))))))))</f>
        <v>3</v>
      </c>
      <c r="S89" s="32" t="s">
        <v>196</v>
      </c>
      <c r="T89" s="31" t="s">
        <v>132</v>
      </c>
      <c r="U89" s="32">
        <f>IF(T89="within",1,0)</f>
        <v>1</v>
      </c>
      <c r="V89" s="31">
        <v>63</v>
      </c>
      <c r="W89" s="32">
        <f>F89*V89</f>
        <v>1827</v>
      </c>
      <c r="X89" s="32">
        <v>3</v>
      </c>
      <c r="Y89" s="41">
        <f>AV88</f>
        <v>473</v>
      </c>
      <c r="Z89" s="32" t="s">
        <v>59</v>
      </c>
      <c r="AA89" s="32">
        <v>1209600</v>
      </c>
      <c r="AB89" s="32" t="str">
        <f>IF(AA89&lt;60,"1",IF(AA89&lt;=43200,"2",IF(AA89&lt;=777600,"3","4")))</f>
        <v>4</v>
      </c>
      <c r="AC89" s="28">
        <f>AVERAGE(AV88:DA88)</f>
        <v>604957.66666666663</v>
      </c>
      <c r="AD89" s="32" t="str">
        <f>IF(AC89&lt;60,"1",IF(AC89&lt;=43200,"2",IF(AC89&lt;=777600,"3","4")))</f>
        <v>3</v>
      </c>
      <c r="AE89" s="41">
        <f>AA89-Y89</f>
        <v>1209127</v>
      </c>
      <c r="AF89" s="45">
        <f>AV89</f>
        <v>0.64</v>
      </c>
      <c r="AG89" s="28">
        <f>((AW89-AV89)+(AX89-AW89))/2</f>
        <v>-0.11500000000000002</v>
      </c>
      <c r="AH89" s="4"/>
      <c r="AI89" s="28">
        <f>RSQ(AV89:AX89,AV88:AX88)</f>
        <v>0.92904097331137769</v>
      </c>
      <c r="AJ89" s="51">
        <f>SLOPE(AV89:AX89,AV88:AX88)</f>
        <v>-1.9020801337349981E-7</v>
      </c>
      <c r="AK89" s="28">
        <f>INTERCEPT(AV89:AX89,AV88:AX88)</f>
        <v>0.62173446261840115</v>
      </c>
      <c r="AL89" s="28">
        <f>INDEX(LINEST(LN(AV89:AX89),LN(AV88:AX88),TRUE,TRUE),3,1)</f>
        <v>0.95060329336212435</v>
      </c>
      <c r="AM89" s="28">
        <f>INDEX(LINEST(LN(AV89:AX89),LN(AV88:AX88)),1)</f>
        <v>-5.1203070795816458E-2</v>
      </c>
      <c r="AN89" s="28">
        <f>EXP(INDEX(LINEST(LN(AV89:AX89),LN(AV88:AX88)),1,2))</f>
        <v>0.88139314673581204</v>
      </c>
      <c r="AO89" s="47">
        <f>INDEX(LINEST((AV89:AX89),LN(AV88:AX88),TRUE,TRUE),3,1)</f>
        <v>0.96991849224265103</v>
      </c>
      <c r="AP89" s="47">
        <f>INDEX(LINEST((AV89:AX89),LN(AV88:AX88)),1)</f>
        <v>-2.7047437235873616E-2</v>
      </c>
      <c r="AQ89" s="48">
        <f>INDEX(LINEST(LN(AV89:AX89),SQRT(AV88:AX88),TRUE,TRUE),3,1)</f>
        <v>0.99992488954526015</v>
      </c>
      <c r="AR89" s="56">
        <f>INDEX(LINEST(LN(AV89:AX89),SQRT((AV88:AX88))),1)</f>
        <v>-4.1223327940972558E-4</v>
      </c>
      <c r="AS89" s="49">
        <f>INDEX(LINEST(1/(AV89:AX89),1/(SQRT(AV88:AX88)),TRUE,TRUE),3,1)</f>
        <v>0.88197387896279078</v>
      </c>
      <c r="AT89" s="49">
        <f>INDEX(LINEST(1/(AV89:AX89),1/SQRT(AV88:AX88)),1)</f>
        <v>-16.103456879274351</v>
      </c>
      <c r="AU89" s="3"/>
      <c r="AV89" s="25">
        <v>0.64</v>
      </c>
      <c r="AW89" s="25">
        <v>0.47</v>
      </c>
      <c r="AX89" s="25">
        <v>0.41</v>
      </c>
      <c r="AY89" s="25"/>
      <c r="AZ89" s="25"/>
      <c r="BA89" s="25"/>
      <c r="BB89" s="25"/>
      <c r="BC89" s="25"/>
      <c r="BD89" s="25"/>
      <c r="BE89" s="25"/>
      <c r="BF89" s="25"/>
      <c r="BG89" s="25"/>
      <c r="BH89" s="25"/>
      <c r="BI89" s="25"/>
      <c r="BJ89" s="25"/>
      <c r="BK89" s="25"/>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1"/>
      <c r="CS89" s="1"/>
      <c r="CT89" s="1"/>
      <c r="CU89" s="1"/>
    </row>
    <row r="90" spans="1:99" s="60" customFormat="1" ht="12" customHeight="1" x14ac:dyDescent="0.2">
      <c r="A90" s="94">
        <v>43509</v>
      </c>
      <c r="B90" s="101"/>
      <c r="C90" s="101"/>
      <c r="D90" s="77"/>
      <c r="E90" s="98"/>
      <c r="F90" s="77"/>
      <c r="G90" s="77"/>
      <c r="H90" s="77"/>
      <c r="I90" s="77"/>
      <c r="J90" s="77"/>
      <c r="K90" s="102"/>
      <c r="L90" s="102"/>
      <c r="M90" s="77"/>
      <c r="N90" s="77"/>
      <c r="O90" s="77"/>
      <c r="P90" s="77"/>
      <c r="Q90" s="77"/>
      <c r="R90" s="77"/>
      <c r="S90" s="77"/>
      <c r="T90" s="96"/>
      <c r="U90" s="32"/>
      <c r="V90" s="77"/>
      <c r="W90" s="77"/>
      <c r="X90" s="77"/>
      <c r="Y90" s="98"/>
      <c r="Z90" s="77"/>
      <c r="AA90" s="77"/>
      <c r="AB90" s="77"/>
      <c r="AC90" s="77"/>
      <c r="AD90" s="77"/>
      <c r="AE90" s="77"/>
      <c r="AF90" s="99"/>
      <c r="AG90" s="100"/>
      <c r="AH90" s="84"/>
      <c r="AI90" s="100"/>
      <c r="AJ90" s="105"/>
      <c r="AK90" s="100"/>
      <c r="AL90" s="100"/>
      <c r="AM90" s="100"/>
      <c r="AN90" s="100"/>
      <c r="AO90" s="100"/>
      <c r="AP90" s="100"/>
      <c r="AQ90" s="100"/>
      <c r="AR90" s="105"/>
      <c r="AS90" s="100"/>
      <c r="AT90" s="100"/>
      <c r="AU90" s="62"/>
      <c r="AV90" s="64">
        <f>60*0.9</f>
        <v>54</v>
      </c>
      <c r="AW90" s="64">
        <f>60*1.2</f>
        <v>72</v>
      </c>
      <c r="AX90" s="64">
        <f>60*1.75</f>
        <v>105</v>
      </c>
      <c r="AY90" s="64">
        <f>60*2.9</f>
        <v>174</v>
      </c>
      <c r="AZ90" s="64">
        <f>60*5.8</f>
        <v>348</v>
      </c>
      <c r="BA90" s="64">
        <f>60*11.7</f>
        <v>702</v>
      </c>
      <c r="BB90" s="65"/>
      <c r="BC90" s="65"/>
      <c r="BD90" s="65"/>
      <c r="BE90" s="65"/>
      <c r="BF90" s="65"/>
      <c r="BG90" s="65"/>
      <c r="BH90" s="65"/>
      <c r="BI90" s="65"/>
      <c r="BJ90" s="65"/>
      <c r="BK90" s="65"/>
      <c r="BL90" s="61"/>
      <c r="BM90" s="61"/>
      <c r="BN90" s="61"/>
      <c r="BO90" s="61"/>
      <c r="BP90" s="61"/>
      <c r="BQ90" s="61"/>
      <c r="BR90" s="61"/>
      <c r="BS90" s="61"/>
      <c r="BT90" s="61"/>
      <c r="BU90" s="61"/>
      <c r="BV90" s="61"/>
      <c r="BW90" s="61"/>
      <c r="BX90" s="61"/>
      <c r="BY90" s="61"/>
      <c r="BZ90" s="61"/>
      <c r="CA90" s="61"/>
      <c r="CB90" s="61"/>
      <c r="CC90" s="61"/>
      <c r="CD90" s="61"/>
      <c r="CE90" s="61"/>
      <c r="CF90" s="61"/>
      <c r="CG90" s="61"/>
      <c r="CH90" s="61"/>
      <c r="CI90" s="61"/>
      <c r="CJ90" s="61"/>
      <c r="CK90" s="61"/>
      <c r="CL90" s="61"/>
      <c r="CM90" s="61"/>
      <c r="CN90" s="61"/>
      <c r="CO90" s="61"/>
      <c r="CP90" s="61"/>
      <c r="CQ90" s="61"/>
      <c r="CR90" s="59"/>
      <c r="CS90" s="59"/>
      <c r="CT90" s="59"/>
      <c r="CU90" s="59"/>
    </row>
    <row r="91" spans="1:99" s="60" customFormat="1" ht="12" customHeight="1" x14ac:dyDescent="0.2">
      <c r="A91" s="94">
        <v>43509</v>
      </c>
      <c r="B91" s="101" t="s">
        <v>203</v>
      </c>
      <c r="C91" s="101" t="s">
        <v>204</v>
      </c>
      <c r="D91" s="77">
        <v>1972</v>
      </c>
      <c r="E91" s="98">
        <v>1</v>
      </c>
      <c r="F91" s="77">
        <v>17</v>
      </c>
      <c r="G91" s="77">
        <v>17</v>
      </c>
      <c r="H91" s="77" t="s">
        <v>28</v>
      </c>
      <c r="I91" s="77" t="s">
        <v>205</v>
      </c>
      <c r="J91" s="77" t="s">
        <v>12</v>
      </c>
      <c r="K91" s="77" t="str">
        <f>IF(J91="syllables","1",IF(J91="trigrams","2",IF(J91="strings","3",IF(J91="visual array","4",IF(J91="characters","5",IF(J91="letters","6",IF(J91="free forms","7",IF(J91="odors","8",IF(J91="words","9",IF(J91="pictures","10",IF(J91="object pictures","11",IF(J91="faces","12",IF(J91="names","13",IF(J91="idioms","14",IF(J91="grades","15",IF(J91="syllable-digit pairs","16",IF(J91="trigram-word pairs","17",IF(J91="word-digit pairs","18",IF(J91="English-Swahili pairs","19",IF(J91="spatial position","20",IF(J91="word pairs","21",IF(J91="word triads","22",IF(J91="generated words","23",IF(J91="word definition pairs","24",IF(J91="math problems","25",IF(J91="famous faces","26",IF(J91="famous names","27",IF(J91="famous voices","28",IF(J91="television programs","29",IF(J91="race horses","30",IF(J91="new vocabulary","31",IF(J91="sentences","32",IF(J91="concepts","33",IF(J91="ad slides","34",IF(J91="scenes","35",IF(J91="famous scenes","36",IF(J91="poems","37",IF(J91="walk","38",IF(J91="faces and events","39",IF(J91="events and names","40",IF(J91="flashbulb","41",IF(J91="stories","42",IF(J91="course material","43",IF(J91="autobiographical","44",IF(J91="novels","45",IF(J91="public events","46",IF(J91="order","90","99")))))))))))))))))))))))))))))))))))))))))))))))</f>
        <v>9</v>
      </c>
      <c r="L91" s="77" t="str">
        <f>IF(J91="syllables","1",IF(J91="trigrams","1",IF(J91="strings","1",IF(J91="visual array","1",IF(J91="characters","1",IF(J91="letters","1",IF(J91="free forms","1",IF(J91="odors","2",IF(J91="words","2",IF(J91="pictures","2",IF(J91="object pictures","2",IF(J91="faces","2",IF(J91="names","2",IF(J91="idioms","2",IF(J91="grades","2",IF(J91="syllable-digit pairs","3",IF(J91="trigram-word pairs","3",IF(J91="word-digit pairs","3",IF(J91="English-Swahili pairs","3",IF(J91="spatial position","3",IF(J91="word pairs","4",IF(J91="word triads","4",IF(J91="generated words","4",IF(J91="word definition pairs","4",IF(J91="math problems","4",IF(J91="famous faces","4",IF(J91="famous names","4",IF(J91="famous voices","4",IF(J91="television programs","4",IF(J91="race horses","4",IF(J91="new vocabulary","4",IF(J91="sentences","5",IF(J91="concepts","5",IF(J91="ad slides","5",IF(J91="scenes","5",IF(J91="famous scenes","5",IF(J91="poems","6",IF(J91="walk","6",IF(J91="faces and events","6",IF(J91="events and names","6",IF(J91="flashbulb","7",IF(J91="stories","7",IF(J91="course material","7",IF(J91="autobiographical","7",IF(J91="novels","7",IF(J91="public events","7",IF(J91="order","90","99")))))))))))))))))))))))))))))))))))))))))))))))</f>
        <v>2</v>
      </c>
      <c r="M91" s="77" t="s">
        <v>195</v>
      </c>
      <c r="N91" s="77">
        <v>1</v>
      </c>
      <c r="O91" s="77" t="s">
        <v>195</v>
      </c>
      <c r="P91" s="77"/>
      <c r="Q91" s="77" t="s">
        <v>18</v>
      </c>
      <c r="R91" s="77" t="str">
        <f>IF(Q91="Free Recall","1",IF(Q91="Cued Recall","2",IF(Q91="Recognition","3",IF(Q91="Multiple Choice","4",IF(Q91="Savings","5",IF(Q91="Stem Completion","6",IF(Q91="Fragment Completion","7",IF(Q91="anagram solution","8",IF(Q91="Matching","9",IF(Q91="Problem Solving","10","99"))))))))))</f>
        <v>3</v>
      </c>
      <c r="S91" s="77" t="s">
        <v>196</v>
      </c>
      <c r="T91" s="96" t="s">
        <v>132</v>
      </c>
      <c r="U91" s="32">
        <f>IF(T91="within",1,0)</f>
        <v>1</v>
      </c>
      <c r="V91" s="96">
        <v>400</v>
      </c>
      <c r="W91" s="77">
        <f>F91*V91</f>
        <v>6800</v>
      </c>
      <c r="X91" s="77">
        <v>6</v>
      </c>
      <c r="Y91" s="98">
        <f>AV90</f>
        <v>54</v>
      </c>
      <c r="Z91" s="77" t="s">
        <v>206</v>
      </c>
      <c r="AA91" s="77">
        <v>702</v>
      </c>
      <c r="AB91" s="77" t="str">
        <f>IF(AA91&lt;60,"1",IF(AA91&lt;=43200,"2",IF(AA91&lt;=777600,"3","4")))</f>
        <v>2</v>
      </c>
      <c r="AC91" s="100">
        <f>AVERAGE(AV90:DA90)</f>
        <v>242.5</v>
      </c>
      <c r="AD91" s="77" t="str">
        <f>IF(AC91&lt;60,"1",IF(AC91&lt;=43200,"2",IF(AC91&lt;=777600,"3","4")))</f>
        <v>2</v>
      </c>
      <c r="AE91" s="98">
        <f>AA91-Y91</f>
        <v>648</v>
      </c>
      <c r="AF91" s="99">
        <f>AV91</f>
        <v>3.34</v>
      </c>
      <c r="AG91" s="100">
        <f>((AW91-AV91)+(AX91-AW91)+(AY91-AX91)+(AZ91-AY91)+(BA91-AZ91))/5</f>
        <v>-0.26200000000000001</v>
      </c>
      <c r="AH91" s="84"/>
      <c r="AI91" s="100">
        <f>RSQ(AV91:BA91,AV90:BA90)</f>
        <v>0.79026948411098474</v>
      </c>
      <c r="AJ91" s="105">
        <f>SLOPE(AV91:BA91,AV90:BA90)</f>
        <v>-2.3807338193682836E-3</v>
      </c>
      <c r="AK91" s="100">
        <f>INTERCEPT(AV91:BA91,AV90:BA90)</f>
        <v>3.5139946178634749</v>
      </c>
      <c r="AL91" s="100">
        <f>INDEX(LINEST(LN(AV91:BA91),LN(AV90:BA90),TRUE,TRUE),3,1)</f>
        <v>0.91911234561509469</v>
      </c>
      <c r="AM91" s="100">
        <f>INDEX(LINEST(LN(AV91:BA91),LN(AV90:BA90)),1)</f>
        <v>-0.231605695561754</v>
      </c>
      <c r="AN91" s="100">
        <f>EXP(INDEX(LINEST(LN(AV91:BA91),LN(AV90:BA90)),1,2))</f>
        <v>9.3124945713252849</v>
      </c>
      <c r="AO91" s="104">
        <f>INDEX(LINEST((AV91:BA91),LN(AV90:BA90),TRUE,TRUE),3,1)</f>
        <v>0.88443178338309869</v>
      </c>
      <c r="AP91" s="104">
        <f>INDEX(LINEST((AV91:BA91),LN(AV90:BA90)),1)</f>
        <v>-0.64106064784881411</v>
      </c>
      <c r="AQ91" s="48">
        <f>INDEX(LINEST(LN(AV91:BA91),SQRT(AV90:BA90),TRUE,TRUE),3,1)</f>
        <v>0.91556258880790453</v>
      </c>
      <c r="AR91" s="56">
        <f>INDEX(LINEST(LN(AV91:BA91),SQRT((AV90:BA90))),1)</f>
        <v>-3.0959002677644627E-2</v>
      </c>
      <c r="AS91" s="49">
        <f>INDEX(LINEST(1/(AV91:BA91),1/(SQRT(AV90:BA90)),TRUE,TRUE),3,1)</f>
        <v>0.85207505114761961</v>
      </c>
      <c r="AT91" s="49">
        <f>INDEX(LINEST(1/(AV91:BA91),1/SQRT(AV90:BA90)),1)</f>
        <v>-2.1227007684645618</v>
      </c>
      <c r="AU91" s="63"/>
      <c r="AV91" s="65">
        <v>3.34</v>
      </c>
      <c r="AW91" s="65">
        <v>3.85</v>
      </c>
      <c r="AX91" s="65">
        <v>3.18</v>
      </c>
      <c r="AY91" s="65">
        <v>2.87</v>
      </c>
      <c r="AZ91" s="65">
        <v>2.35</v>
      </c>
      <c r="BA91" s="65">
        <v>2.0299999999999998</v>
      </c>
      <c r="BB91" s="65"/>
      <c r="BC91" s="65"/>
      <c r="BD91" s="65"/>
      <c r="BE91" s="65"/>
      <c r="BF91" s="65"/>
      <c r="BG91" s="65"/>
      <c r="BH91" s="65"/>
      <c r="BI91" s="65"/>
      <c r="BJ91" s="65"/>
      <c r="BK91" s="65"/>
      <c r="BL91" s="61"/>
      <c r="BM91" s="61"/>
      <c r="BN91" s="61"/>
      <c r="BO91" s="61"/>
      <c r="BP91" s="61"/>
      <c r="BQ91" s="61"/>
      <c r="BR91" s="61"/>
      <c r="BS91" s="61"/>
      <c r="BT91" s="61"/>
      <c r="BU91" s="61"/>
      <c r="BV91" s="61"/>
      <c r="BW91" s="61"/>
      <c r="BX91" s="61"/>
      <c r="BY91" s="61"/>
      <c r="BZ91" s="61"/>
      <c r="CA91" s="61"/>
      <c r="CB91" s="61"/>
      <c r="CC91" s="61"/>
      <c r="CD91" s="61"/>
      <c r="CE91" s="61"/>
      <c r="CF91" s="61"/>
      <c r="CG91" s="61"/>
      <c r="CH91" s="61"/>
      <c r="CI91" s="61"/>
      <c r="CJ91" s="61"/>
      <c r="CK91" s="61"/>
      <c r="CL91" s="61"/>
      <c r="CM91" s="61"/>
      <c r="CN91" s="61"/>
      <c r="CO91" s="61"/>
      <c r="CP91" s="61"/>
      <c r="CQ91" s="61"/>
      <c r="CR91" s="59"/>
      <c r="CS91" s="59"/>
      <c r="CT91" s="59"/>
      <c r="CU91" s="59"/>
    </row>
    <row r="92" spans="1:99" s="60" customFormat="1" ht="12" customHeight="1" x14ac:dyDescent="0.2">
      <c r="A92" s="94">
        <v>43509</v>
      </c>
      <c r="B92" s="101"/>
      <c r="C92" s="101"/>
      <c r="D92" s="77"/>
      <c r="E92" s="98"/>
      <c r="F92" s="77"/>
      <c r="G92" s="77"/>
      <c r="H92" s="77"/>
      <c r="I92" s="77"/>
      <c r="J92" s="77"/>
      <c r="K92" s="102"/>
      <c r="L92" s="102"/>
      <c r="M92" s="77"/>
      <c r="N92" s="77"/>
      <c r="O92" s="77"/>
      <c r="P92" s="77"/>
      <c r="Q92" s="77"/>
      <c r="R92" s="77"/>
      <c r="S92" s="77"/>
      <c r="T92" s="96"/>
      <c r="U92" s="32"/>
      <c r="V92" s="77"/>
      <c r="W92" s="77"/>
      <c r="X92" s="77"/>
      <c r="Y92" s="98"/>
      <c r="Z92" s="77"/>
      <c r="AA92" s="77"/>
      <c r="AB92" s="77"/>
      <c r="AC92" s="77"/>
      <c r="AD92" s="77"/>
      <c r="AE92" s="77"/>
      <c r="AF92" s="99"/>
      <c r="AG92" s="100"/>
      <c r="AH92" s="84"/>
      <c r="AI92" s="100"/>
      <c r="AJ92" s="105"/>
      <c r="AK92" s="100"/>
      <c r="AL92" s="100"/>
      <c r="AM92" s="100"/>
      <c r="AN92" s="100"/>
      <c r="AO92" s="100"/>
      <c r="AP92" s="100"/>
      <c r="AQ92" s="100"/>
      <c r="AR92" s="105"/>
      <c r="AS92" s="100"/>
      <c r="AT92" s="100"/>
      <c r="AU92" s="62"/>
      <c r="AV92" s="64">
        <f>60*0.9</f>
        <v>54</v>
      </c>
      <c r="AW92" s="64">
        <f>60*1.2</f>
        <v>72</v>
      </c>
      <c r="AX92" s="64">
        <f>60*1.75</f>
        <v>105</v>
      </c>
      <c r="AY92" s="64">
        <f>60*2.9</f>
        <v>174</v>
      </c>
      <c r="AZ92" s="64">
        <f>60*5.8</f>
        <v>348</v>
      </c>
      <c r="BA92" s="64">
        <f>60*11.7</f>
        <v>702</v>
      </c>
      <c r="BB92" s="65"/>
      <c r="BC92" s="65"/>
      <c r="BD92" s="65"/>
      <c r="BE92" s="65"/>
      <c r="BF92" s="65"/>
      <c r="BG92" s="65"/>
      <c r="BH92" s="65"/>
      <c r="BI92" s="65"/>
      <c r="BJ92" s="65"/>
      <c r="BK92" s="65"/>
      <c r="BL92" s="61"/>
      <c r="BM92" s="61"/>
      <c r="BN92" s="61"/>
      <c r="BO92" s="61"/>
      <c r="BP92" s="61"/>
      <c r="BQ92" s="61"/>
      <c r="BR92" s="61"/>
      <c r="BS92" s="61"/>
      <c r="BT92" s="61"/>
      <c r="BU92" s="61"/>
      <c r="BV92" s="61"/>
      <c r="BW92" s="61"/>
      <c r="BX92" s="61"/>
      <c r="BY92" s="61"/>
      <c r="BZ92" s="61"/>
      <c r="CA92" s="61"/>
      <c r="CB92" s="61"/>
      <c r="CC92" s="61"/>
      <c r="CD92" s="61"/>
      <c r="CE92" s="61"/>
      <c r="CF92" s="61"/>
      <c r="CG92" s="61"/>
      <c r="CH92" s="61"/>
      <c r="CI92" s="61"/>
      <c r="CJ92" s="61"/>
      <c r="CK92" s="61"/>
      <c r="CL92" s="61"/>
      <c r="CM92" s="61"/>
      <c r="CN92" s="61"/>
      <c r="CO92" s="61"/>
      <c r="CP92" s="61"/>
      <c r="CQ92" s="61"/>
      <c r="CR92" s="59"/>
      <c r="CS92" s="59"/>
      <c r="CT92" s="59"/>
      <c r="CU92" s="59"/>
    </row>
    <row r="93" spans="1:99" s="60" customFormat="1" ht="12" customHeight="1" x14ac:dyDescent="0.2">
      <c r="A93" s="94">
        <v>43509</v>
      </c>
      <c r="B93" s="101" t="s">
        <v>203</v>
      </c>
      <c r="C93" s="101" t="s">
        <v>204</v>
      </c>
      <c r="D93" s="77">
        <v>1972</v>
      </c>
      <c r="E93" s="98">
        <v>1</v>
      </c>
      <c r="F93" s="77">
        <v>17</v>
      </c>
      <c r="G93" s="77">
        <v>17</v>
      </c>
      <c r="H93" s="77" t="s">
        <v>28</v>
      </c>
      <c r="I93" s="77" t="s">
        <v>205</v>
      </c>
      <c r="J93" s="77" t="s">
        <v>157</v>
      </c>
      <c r="K93" s="77" t="str">
        <f>IF(J93="syllables","1",IF(J93="trigrams","2",IF(J93="strings","3",IF(J93="visual array","4",IF(J93="characters","5",IF(J93="letters","6",IF(J93="free forms","7",IF(J93="odors","8",IF(J93="words","9",IF(J93="pictures","10",IF(J93="object pictures","11",IF(J93="faces","12",IF(J93="names","13",IF(J93="idioms","14",IF(J93="grades","15",IF(J93="syllable-digit pairs","16",IF(J93="trigram-word pairs","17",IF(J93="word-digit pairs","18",IF(J93="English-Swahili pairs","19",IF(J93="spatial position","20",IF(J93="word pairs","21",IF(J93="word triads","22",IF(J93="generated words","23",IF(J93="word definition pairs","24",IF(J93="math problems","25",IF(J93="famous faces","26",IF(J93="famous names","27",IF(J93="famous voices","28",IF(J93="television programs","29",IF(J93="race horses","30",IF(J93="new vocabulary","31",IF(J93="sentences","32",IF(J93="concepts","33",IF(J93="ad slides","34",IF(J93="scenes","35",IF(J93="famous scenes","36",IF(J93="poems","37",IF(J93="walk","38",IF(J93="faces and events","39",IF(J93="events and names","40",IF(J93="flashbulb","41",IF(J93="stories","42",IF(J93="course material","43",IF(J93="autobiographical","44",IF(J93="novels","45",IF(J93="public events","46",IF(J93="order","90","99")))))))))))))))))))))))))))))))))))))))))))))))</f>
        <v>3</v>
      </c>
      <c r="L93" s="77" t="str">
        <f>IF(J93="syllables","1",IF(J93="trigrams","1",IF(J93="strings","1",IF(J93="visual array","1",IF(J93="characters","1",IF(J93="letters","1",IF(J93="free forms","1",IF(J93="odors","2",IF(J93="words","2",IF(J93="pictures","2",IF(J93="object pictures","2",IF(J93="faces","2",IF(J93="names","2",IF(J93="idioms","2",IF(J93="grades","2",IF(J93="syllable-digit pairs","3",IF(J93="trigram-word pairs","3",IF(J93="word-digit pairs","3",IF(J93="English-Swahili pairs","3",IF(J93="spatial position","3",IF(J93="word pairs","4",IF(J93="word triads","4",IF(J93="generated words","4",IF(J93="word definition pairs","4",IF(J93="math problems","4",IF(J93="famous faces","4",IF(J93="famous names","4",IF(J93="famous voices","4",IF(J93="television programs","4",IF(J93="race horses","4",IF(J93="new vocabulary","4",IF(J93="sentences","5",IF(J93="concepts","5",IF(J93="ad slides","5",IF(J93="scenes","5",IF(J93="famous scenes","5",IF(J93="poems","6",IF(J93="walk","6",IF(J93="faces and events","6",IF(J93="events and names","6",IF(J93="flashbulb","7",IF(J93="stories","7",IF(J93="course material","7",IF(J93="autobiographical","7",IF(J93="novels","7",IF(J93="public events","7",IF(J93="order","90","99")))))))))))))))))))))))))))))))))))))))))))))))</f>
        <v>1</v>
      </c>
      <c r="M93" s="77" t="s">
        <v>195</v>
      </c>
      <c r="N93" s="77">
        <v>1</v>
      </c>
      <c r="O93" s="77" t="s">
        <v>195</v>
      </c>
      <c r="P93" s="77"/>
      <c r="Q93" s="77" t="s">
        <v>18</v>
      </c>
      <c r="R93" s="77" t="str">
        <f>IF(Q93="Free Recall","1",IF(Q93="Cued Recall","2",IF(Q93="Recognition","3",IF(Q93="Multiple Choice","4",IF(Q93="Savings","5",IF(Q93="Stem Completion","6",IF(Q93="Fragment Completion","7",IF(Q93="anagram solution","8",IF(Q93="Matching","9",IF(Q93="Problem Solving","10","99"))))))))))</f>
        <v>3</v>
      </c>
      <c r="S93" s="77" t="s">
        <v>196</v>
      </c>
      <c r="T93" s="96" t="s">
        <v>132</v>
      </c>
      <c r="U93" s="32">
        <f>IF(T93="within",1,0)</f>
        <v>1</v>
      </c>
      <c r="V93" s="96">
        <v>400</v>
      </c>
      <c r="W93" s="77">
        <f>F93*V93</f>
        <v>6800</v>
      </c>
      <c r="X93" s="77">
        <v>6</v>
      </c>
      <c r="Y93" s="98">
        <f>AV92</f>
        <v>54</v>
      </c>
      <c r="Z93" s="77" t="s">
        <v>206</v>
      </c>
      <c r="AA93" s="77">
        <v>702</v>
      </c>
      <c r="AB93" s="77" t="str">
        <f>IF(AA93&lt;60,"1",IF(AA93&lt;=43200,"2",IF(AA93&lt;=777600,"3","4")))</f>
        <v>2</v>
      </c>
      <c r="AC93" s="100">
        <f>AVERAGE(AV92:DA92)</f>
        <v>242.5</v>
      </c>
      <c r="AD93" s="77" t="str">
        <f>IF(AC93&lt;60,"1",IF(AC93&lt;=43200,"2",IF(AC93&lt;=777600,"3","4")))</f>
        <v>2</v>
      </c>
      <c r="AE93" s="98">
        <f>AA93-Y93</f>
        <v>648</v>
      </c>
      <c r="AF93" s="99">
        <f>AV93</f>
        <v>1.42</v>
      </c>
      <c r="AG93" s="100">
        <f>((AW93-AV93)+(AX93-AW93)+(AY93-AX93)+(AZ93-AY93)+(BA93-AZ93))/5</f>
        <v>-0.182</v>
      </c>
      <c r="AH93" s="84"/>
      <c r="AI93" s="100">
        <f>RSQ(AV93:BA93,AV92:BA92)</f>
        <v>0.7465769949128177</v>
      </c>
      <c r="AJ93" s="105">
        <f>SLOPE(AV93:BA93,AV92:BA92)</f>
        <v>-1.2319327216829886E-3</v>
      </c>
      <c r="AK93" s="100">
        <f>INTERCEPT(AV93:BA93,AV92:BA92)</f>
        <v>1.2854103516747915</v>
      </c>
      <c r="AL93" s="100">
        <f>INDEX(LINEST(LN(AV93:BA93),LN(AV92:BA92),TRUE,TRUE),3,1)</f>
        <v>0.94808697836400802</v>
      </c>
      <c r="AM93" s="100">
        <f>INDEX(LINEST(LN(AV93:BA93),LN(AV92:BA92)),1)</f>
        <v>-0.38727369123979294</v>
      </c>
      <c r="AN93" s="100">
        <f>EXP(INDEX(LINEST(LN(AV93:BA93),LN(AV92:BA92)),1,2))</f>
        <v>6.6490460975189292</v>
      </c>
      <c r="AO93" s="104">
        <f>INDEX(LINEST((AV93:BA93),LN(AV92:BA92),TRUE,TRUE),3,1)</f>
        <v>0.92803959010451431</v>
      </c>
      <c r="AP93" s="104">
        <f>INDEX(LINEST((AV93:BA93),LN(AV92:BA92)),1)</f>
        <v>-0.34960420941466741</v>
      </c>
      <c r="AQ93" s="48">
        <f>INDEX(LINEST(LN(AV93:BA93),SQRT(AV92:BA92),TRUE,TRUE),3,1)</f>
        <v>0.91336661268786656</v>
      </c>
      <c r="AR93" s="56">
        <f>INDEX(LINEST(LN(AV93:BA93),SQRT((AV92:BA92))),1)</f>
        <v>-5.0908989572750883E-2</v>
      </c>
      <c r="AS93" s="49">
        <f>INDEX(LINEST(1/(AV93:BA93),1/(SQRT(AV92:BA92)),TRUE,TRUE),3,1)</f>
        <v>0.86190352455431352</v>
      </c>
      <c r="AT93" s="49">
        <f>INDEX(LINEST(1/(AV93:BA93),1/SQRT(AV92:BA92)),1)</f>
        <v>-11.5640971813334</v>
      </c>
      <c r="AU93" s="63"/>
      <c r="AV93" s="65">
        <v>1.42</v>
      </c>
      <c r="AW93" s="65">
        <v>1.33</v>
      </c>
      <c r="AX93" s="65">
        <v>1.1000000000000001</v>
      </c>
      <c r="AY93" s="65">
        <v>0.78</v>
      </c>
      <c r="AZ93" s="65">
        <v>0.78</v>
      </c>
      <c r="BA93" s="65">
        <v>0.51</v>
      </c>
      <c r="BB93" s="65"/>
      <c r="BC93" s="65"/>
      <c r="BD93" s="65"/>
      <c r="BE93" s="65"/>
      <c r="BF93" s="65"/>
      <c r="BG93" s="65"/>
      <c r="BH93" s="65"/>
      <c r="BI93" s="65"/>
      <c r="BJ93" s="65"/>
      <c r="BK93" s="65"/>
      <c r="BL93" s="61"/>
      <c r="BM93" s="61"/>
      <c r="BN93" s="61"/>
      <c r="BO93" s="61"/>
      <c r="BP93" s="61"/>
      <c r="BQ93" s="61"/>
      <c r="BR93" s="61"/>
      <c r="BS93" s="61"/>
      <c r="BT93" s="61"/>
      <c r="BU93" s="61"/>
      <c r="BV93" s="61"/>
      <c r="BW93" s="61"/>
      <c r="BX93" s="61"/>
      <c r="BY93" s="61"/>
      <c r="BZ93" s="61"/>
      <c r="CA93" s="61"/>
      <c r="CB93" s="61"/>
      <c r="CC93" s="61"/>
      <c r="CD93" s="61"/>
      <c r="CE93" s="61"/>
      <c r="CF93" s="61"/>
      <c r="CG93" s="61"/>
      <c r="CH93" s="61"/>
      <c r="CI93" s="61"/>
      <c r="CJ93" s="61"/>
      <c r="CK93" s="61"/>
      <c r="CL93" s="61"/>
      <c r="CM93" s="61"/>
      <c r="CN93" s="61"/>
      <c r="CO93" s="61"/>
      <c r="CP93" s="61"/>
      <c r="CQ93" s="61"/>
      <c r="CR93" s="59"/>
      <c r="CS93" s="59"/>
      <c r="CT93" s="59"/>
      <c r="CU93" s="59"/>
    </row>
    <row r="94" spans="1:99" s="60" customFormat="1" ht="12" customHeight="1" x14ac:dyDescent="0.2">
      <c r="A94" s="94">
        <v>43509</v>
      </c>
      <c r="B94" s="101"/>
      <c r="C94" s="101"/>
      <c r="D94" s="77"/>
      <c r="E94" s="98"/>
      <c r="F94" s="77"/>
      <c r="G94" s="77"/>
      <c r="H94" s="77"/>
      <c r="I94" s="77"/>
      <c r="J94" s="77"/>
      <c r="K94" s="102"/>
      <c r="L94" s="102"/>
      <c r="M94" s="77"/>
      <c r="N94" s="77"/>
      <c r="O94" s="77"/>
      <c r="P94" s="77"/>
      <c r="Q94" s="77"/>
      <c r="R94" s="77"/>
      <c r="S94" s="77"/>
      <c r="T94" s="96"/>
      <c r="U94" s="32"/>
      <c r="V94" s="77"/>
      <c r="W94" s="77"/>
      <c r="X94" s="77"/>
      <c r="Y94" s="98"/>
      <c r="Z94" s="77"/>
      <c r="AA94" s="77"/>
      <c r="AB94" s="77"/>
      <c r="AC94" s="77"/>
      <c r="AD94" s="77"/>
      <c r="AE94" s="77"/>
      <c r="AF94" s="99"/>
      <c r="AG94" s="100"/>
      <c r="AH94" s="84"/>
      <c r="AI94" s="100"/>
      <c r="AJ94" s="105"/>
      <c r="AK94" s="100"/>
      <c r="AL94" s="100"/>
      <c r="AM94" s="100"/>
      <c r="AN94" s="100"/>
      <c r="AO94" s="100"/>
      <c r="AP94" s="100"/>
      <c r="AQ94" s="100"/>
      <c r="AR94" s="105"/>
      <c r="AS94" s="100"/>
      <c r="AT94" s="100"/>
      <c r="AU94" s="62"/>
      <c r="AV94" s="64">
        <f>60*0.9</f>
        <v>54</v>
      </c>
      <c r="AW94" s="64">
        <f>60*1.2</f>
        <v>72</v>
      </c>
      <c r="AX94" s="64">
        <f>60*1.75</f>
        <v>105</v>
      </c>
      <c r="AY94" s="64">
        <f>60*2.3</f>
        <v>138</v>
      </c>
      <c r="AZ94" s="64">
        <f>60*3.5</f>
        <v>210</v>
      </c>
      <c r="BA94" s="64">
        <f>60*5.8</f>
        <v>348</v>
      </c>
      <c r="BB94" s="64">
        <f>60*11.7</f>
        <v>702</v>
      </c>
      <c r="BC94" s="64">
        <f>60*23.3</f>
        <v>1398</v>
      </c>
      <c r="BD94" s="65"/>
      <c r="BE94" s="65"/>
      <c r="BF94" s="65"/>
      <c r="BG94" s="65"/>
      <c r="BH94" s="65"/>
      <c r="BI94" s="65"/>
      <c r="BJ94" s="65"/>
      <c r="BK94" s="65"/>
      <c r="BL94" s="61"/>
      <c r="BM94" s="61"/>
      <c r="BN94" s="61"/>
      <c r="BO94" s="61"/>
      <c r="BP94" s="61"/>
      <c r="BQ94" s="61"/>
      <c r="BR94" s="61"/>
      <c r="BS94" s="61"/>
      <c r="BT94" s="61"/>
      <c r="BU94" s="61"/>
      <c r="BV94" s="61"/>
      <c r="BW94" s="61"/>
      <c r="BX94" s="61"/>
      <c r="BY94" s="61"/>
      <c r="BZ94" s="61"/>
      <c r="CA94" s="61"/>
      <c r="CB94" s="61"/>
      <c r="CC94" s="61"/>
      <c r="CD94" s="61"/>
      <c r="CE94" s="61"/>
      <c r="CF94" s="61"/>
      <c r="CG94" s="61"/>
      <c r="CH94" s="61"/>
      <c r="CI94" s="61"/>
      <c r="CJ94" s="61"/>
      <c r="CK94" s="61"/>
      <c r="CL94" s="61"/>
      <c r="CM94" s="61"/>
      <c r="CN94" s="61"/>
      <c r="CO94" s="61"/>
      <c r="CP94" s="61"/>
      <c r="CQ94" s="61"/>
      <c r="CR94" s="59"/>
      <c r="CS94" s="59"/>
      <c r="CT94" s="59"/>
      <c r="CU94" s="59"/>
    </row>
    <row r="95" spans="1:99" s="60" customFormat="1" ht="12" customHeight="1" x14ac:dyDescent="0.2">
      <c r="A95" s="94">
        <v>43509</v>
      </c>
      <c r="B95" s="101" t="s">
        <v>203</v>
      </c>
      <c r="C95" s="101" t="s">
        <v>204</v>
      </c>
      <c r="D95" s="77">
        <v>1972</v>
      </c>
      <c r="E95" s="98">
        <v>1</v>
      </c>
      <c r="F95" s="77">
        <v>17</v>
      </c>
      <c r="G95" s="77">
        <v>17</v>
      </c>
      <c r="H95" s="77" t="s">
        <v>28</v>
      </c>
      <c r="I95" s="77" t="s">
        <v>207</v>
      </c>
      <c r="J95" s="77" t="s">
        <v>12</v>
      </c>
      <c r="K95" s="77" t="str">
        <f>IF(J95="syllables","1",IF(J95="trigrams","2",IF(J95="strings","3",IF(J95="visual array","4",IF(J95="characters","5",IF(J95="letters","6",IF(J95="free forms","7",IF(J95="odors","8",IF(J95="words","9",IF(J95="pictures","10",IF(J95="object pictures","11",IF(J95="faces","12",IF(J95="names","13",IF(J95="idioms","14",IF(J95="grades","15",IF(J95="syllable-digit pairs","16",IF(J95="trigram-word pairs","17",IF(J95="word-digit pairs","18",IF(J95="English-Swahili pairs","19",IF(J95="spatial position","20",IF(J95="word pairs","21",IF(J95="word triads","22",IF(J95="generated words","23",IF(J95="word definition pairs","24",IF(J95="math problems","25",IF(J95="famous faces","26",IF(J95="famous names","27",IF(J95="famous voices","28",IF(J95="television programs","29",IF(J95="race horses","30",IF(J95="new vocabulary","31",IF(J95="sentences","32",IF(J95="concepts","33",IF(J95="ad slides","34",IF(J95="scenes","35",IF(J95="famous scenes","36",IF(J95="poems","37",IF(J95="walk","38",IF(J95="faces and events","39",IF(J95="events and names","40",IF(J95="flashbulb","41",IF(J95="stories","42",IF(J95="course material","43",IF(J95="autobiographical","44",IF(J95="novels","45",IF(J95="public events","46",IF(J95="order","90","99")))))))))))))))))))))))))))))))))))))))))))))))</f>
        <v>9</v>
      </c>
      <c r="L95" s="77" t="str">
        <f>IF(J95="syllables","1",IF(J95="trigrams","1",IF(J95="strings","1",IF(J95="visual array","1",IF(J95="characters","1",IF(J95="letters","1",IF(J95="free forms","1",IF(J95="odors","2",IF(J95="words","2",IF(J95="pictures","2",IF(J95="object pictures","2",IF(J95="faces","2",IF(J95="names","2",IF(J95="idioms","2",IF(J95="grades","2",IF(J95="syllable-digit pairs","3",IF(J95="trigram-word pairs","3",IF(J95="word-digit pairs","3",IF(J95="English-Swahili pairs","3",IF(J95="spatial position","3",IF(J95="word pairs","4",IF(J95="word triads","4",IF(J95="generated words","4",IF(J95="word definition pairs","4",IF(J95="math problems","4",IF(J95="famous faces","4",IF(J95="famous names","4",IF(J95="famous voices","4",IF(J95="television programs","4",IF(J95="race horses","4",IF(J95="new vocabulary","4",IF(J95="sentences","5",IF(J95="concepts","5",IF(J95="ad slides","5",IF(J95="scenes","5",IF(J95="famous scenes","5",IF(J95="poems","6",IF(J95="walk","6",IF(J95="faces and events","6",IF(J95="events and names","6",IF(J95="flashbulb","7",IF(J95="stories","7",IF(J95="course material","7",IF(J95="autobiographical","7",IF(J95="novels","7",IF(J95="public events","7",IF(J95="order","90","99")))))))))))))))))))))))))))))))))))))))))))))))</f>
        <v>2</v>
      </c>
      <c r="M95" s="77" t="s">
        <v>195</v>
      </c>
      <c r="N95" s="77">
        <v>1</v>
      </c>
      <c r="O95" s="77" t="s">
        <v>195</v>
      </c>
      <c r="P95" s="77"/>
      <c r="Q95" s="77" t="s">
        <v>18</v>
      </c>
      <c r="R95" s="77" t="str">
        <f>IF(Q95="Free Recall","1",IF(Q95="Cued Recall","2",IF(Q95="Recognition","3",IF(Q95="Multiple Choice","4",IF(Q95="Savings","5",IF(Q95="Stem Completion","6",IF(Q95="Fragment Completion","7",IF(Q95="anagram solution","8",IF(Q95="Matching","9",IF(Q95="Problem Solving","10","99"))))))))))</f>
        <v>3</v>
      </c>
      <c r="S95" s="77" t="s">
        <v>196</v>
      </c>
      <c r="T95" s="96" t="s">
        <v>132</v>
      </c>
      <c r="U95" s="32">
        <f>IF(T95="within",1,0)</f>
        <v>1</v>
      </c>
      <c r="V95" s="96">
        <v>400</v>
      </c>
      <c r="W95" s="77">
        <f>F95*V95</f>
        <v>6800</v>
      </c>
      <c r="X95" s="77">
        <v>8</v>
      </c>
      <c r="Y95" s="98">
        <f>AV94</f>
        <v>54</v>
      </c>
      <c r="Z95" s="77" t="s">
        <v>208</v>
      </c>
      <c r="AA95" s="77">
        <v>1398</v>
      </c>
      <c r="AB95" s="77" t="str">
        <f>IF(AA95&lt;60,"1",IF(AA95&lt;=43200,"2",IF(AA95&lt;=777600,"3","4")))</f>
        <v>2</v>
      </c>
      <c r="AC95" s="100">
        <f>AVERAGE(AV94:DA94)</f>
        <v>378.375</v>
      </c>
      <c r="AD95" s="77" t="str">
        <f>IF(AC95&lt;60,"1",IF(AC95&lt;=43200,"2",IF(AC95&lt;=777600,"3","4")))</f>
        <v>2</v>
      </c>
      <c r="AE95" s="98">
        <f>AA95-Y95</f>
        <v>1344</v>
      </c>
      <c r="AF95" s="99">
        <f>AV95</f>
        <v>4.37</v>
      </c>
      <c r="AG95" s="100">
        <f>((AW95-AV95)+(AX95-AW95)+(AY95-AX95)+(AZ95-AY95)+(BA95-AZ95)+(BB95-BA95)+(BC95-BB95))/7</f>
        <v>-0.21428571428571427</v>
      </c>
      <c r="AH95" s="84"/>
      <c r="AI95" s="100">
        <f>RSQ(AV95:BC95,AV94:BC94)</f>
        <v>0.67973003866284976</v>
      </c>
      <c r="AJ95" s="105">
        <f>SLOPE(AV95:BC95,AV94:BC94)</f>
        <v>-1.0086515280496406E-3</v>
      </c>
      <c r="AK95" s="100">
        <f>INTERCEPT(AV95:BC95,AV94:BC94)</f>
        <v>3.9791485219257829</v>
      </c>
      <c r="AL95" s="100">
        <f>INDEX(LINEST(LN(AV95:BC95),LN(AV94:BC94),TRUE,TRUE),3,1)</f>
        <v>0.96372566225794087</v>
      </c>
      <c r="AM95" s="100">
        <f>INDEX(LINEST(LN(AV95:BC95),LN(AV94:BC94)),1)</f>
        <v>-0.14009386451260886</v>
      </c>
      <c r="AN95" s="100">
        <f>EXP(INDEX(LINEST(LN(AV95:BC95),LN(AV94:BC94)),1,2))</f>
        <v>7.5328700208289039</v>
      </c>
      <c r="AO95" s="104">
        <f>INDEX(LINEST((AV95:BC95),LN(AV94:BC94),TRUE,TRUE),3,1)</f>
        <v>0.95612006534909966</v>
      </c>
      <c r="AP95" s="104">
        <f>INDEX(LINEST((AV95:BC95),LN(AV94:BC94)),1)</f>
        <v>-0.49054485679991228</v>
      </c>
      <c r="AQ95" s="48">
        <f>INDEX(LINEST(LN(AV95:BC95),SQRT(AV94:BC94),TRUE,TRUE),3,1)</f>
        <v>0.86227269127264095</v>
      </c>
      <c r="AR95" s="56">
        <f>INDEX(LINEST(LN(AV95:BC95),SQRT((AV94:BC94))),1)</f>
        <v>-1.4442468167535263E-2</v>
      </c>
      <c r="AS95" s="49">
        <f>INDEX(LINEST(1/(AV95:BC95),1/(SQRT(AV94:BC94)),TRUE,TRUE),3,1)</f>
        <v>0.93568265827451613</v>
      </c>
      <c r="AT95" s="49">
        <f>INDEX(LINEST(1/(AV95:BC95),1/SQRT(AV94:BC94)),1)</f>
        <v>-1.1745634615381135</v>
      </c>
      <c r="AU95" s="63"/>
      <c r="AV95" s="65">
        <v>4.37</v>
      </c>
      <c r="AW95" s="65">
        <v>4.17</v>
      </c>
      <c r="AX95" s="65">
        <v>3.91</v>
      </c>
      <c r="AY95" s="65">
        <v>3.74</v>
      </c>
      <c r="AZ95" s="65">
        <v>3.64</v>
      </c>
      <c r="BA95" s="65">
        <v>3.21</v>
      </c>
      <c r="BB95" s="65">
        <v>2.87</v>
      </c>
      <c r="BC95" s="65">
        <v>2.87</v>
      </c>
      <c r="BD95" s="65"/>
      <c r="BE95" s="65"/>
      <c r="BF95" s="65"/>
      <c r="BG95" s="65"/>
      <c r="BH95" s="65"/>
      <c r="BI95" s="65"/>
      <c r="BJ95" s="65"/>
      <c r="BK95" s="65"/>
      <c r="BL95" s="61"/>
      <c r="BM95" s="61"/>
      <c r="BN95" s="61"/>
      <c r="BO95" s="61"/>
      <c r="BP95" s="61"/>
      <c r="BQ95" s="61"/>
      <c r="BR95" s="61"/>
      <c r="BS95" s="61"/>
      <c r="BT95" s="61"/>
      <c r="BU95" s="61"/>
      <c r="BV95" s="61"/>
      <c r="BW95" s="61"/>
      <c r="BX95" s="61"/>
      <c r="BY95" s="61"/>
      <c r="BZ95" s="61"/>
      <c r="CA95" s="61"/>
      <c r="CB95" s="61"/>
      <c r="CC95" s="61"/>
      <c r="CD95" s="61"/>
      <c r="CE95" s="61"/>
      <c r="CF95" s="61"/>
      <c r="CG95" s="61"/>
      <c r="CH95" s="61"/>
      <c r="CI95" s="61"/>
      <c r="CJ95" s="61"/>
      <c r="CK95" s="61"/>
      <c r="CL95" s="61"/>
      <c r="CM95" s="61"/>
      <c r="CN95" s="61"/>
      <c r="CO95" s="61"/>
      <c r="CP95" s="61"/>
      <c r="CQ95" s="61"/>
      <c r="CR95" s="59"/>
      <c r="CS95" s="59"/>
      <c r="CT95" s="59"/>
      <c r="CU95" s="59"/>
    </row>
    <row r="96" spans="1:99" s="60" customFormat="1" ht="12" customHeight="1" x14ac:dyDescent="0.2">
      <c r="A96" s="94">
        <v>43509</v>
      </c>
      <c r="B96" s="101"/>
      <c r="C96" s="101"/>
      <c r="D96" s="77"/>
      <c r="E96" s="98"/>
      <c r="F96" s="77"/>
      <c r="G96" s="77"/>
      <c r="H96" s="77"/>
      <c r="I96" s="77"/>
      <c r="J96" s="77"/>
      <c r="K96" s="102"/>
      <c r="L96" s="102"/>
      <c r="M96" s="77"/>
      <c r="N96" s="77"/>
      <c r="O96" s="77"/>
      <c r="P96" s="77"/>
      <c r="Q96" s="77"/>
      <c r="R96" s="77"/>
      <c r="S96" s="77"/>
      <c r="T96" s="96"/>
      <c r="U96" s="32"/>
      <c r="V96" s="77"/>
      <c r="W96" s="77"/>
      <c r="X96" s="77"/>
      <c r="Y96" s="98"/>
      <c r="Z96" s="77"/>
      <c r="AA96" s="77"/>
      <c r="AB96" s="77"/>
      <c r="AC96" s="77"/>
      <c r="AD96" s="77"/>
      <c r="AE96" s="77"/>
      <c r="AF96" s="99"/>
      <c r="AG96" s="100"/>
      <c r="AH96" s="84"/>
      <c r="AI96" s="100"/>
      <c r="AJ96" s="105"/>
      <c r="AK96" s="100"/>
      <c r="AL96" s="100"/>
      <c r="AM96" s="100"/>
      <c r="AN96" s="100"/>
      <c r="AO96" s="100"/>
      <c r="AP96" s="100"/>
      <c r="AQ96" s="104"/>
      <c r="AR96" s="106"/>
      <c r="AS96" s="104"/>
      <c r="AT96" s="104"/>
      <c r="AU96" s="62"/>
      <c r="AV96" s="64">
        <f>60*0.9</f>
        <v>54</v>
      </c>
      <c r="AW96" s="64">
        <f>60*1.2</f>
        <v>72</v>
      </c>
      <c r="AX96" s="64">
        <f>60*1.75</f>
        <v>105</v>
      </c>
      <c r="AY96" s="64">
        <f>60*2.3</f>
        <v>138</v>
      </c>
      <c r="AZ96" s="64">
        <f>60*3.5</f>
        <v>210</v>
      </c>
      <c r="BA96" s="64">
        <f>60*5.8</f>
        <v>348</v>
      </c>
      <c r="BB96" s="64">
        <f>60*11.7</f>
        <v>702</v>
      </c>
      <c r="BC96" s="64">
        <f>60*23.3</f>
        <v>1398</v>
      </c>
      <c r="BD96" s="65"/>
      <c r="BE96" s="65"/>
      <c r="BF96" s="65"/>
      <c r="BG96" s="65"/>
      <c r="BH96" s="65"/>
      <c r="BI96" s="65"/>
      <c r="BJ96" s="65"/>
      <c r="BK96" s="65"/>
      <c r="BL96" s="61"/>
      <c r="BM96" s="61"/>
      <c r="BN96" s="61"/>
      <c r="BO96" s="61"/>
      <c r="BP96" s="61"/>
      <c r="BQ96" s="61"/>
      <c r="BR96" s="61"/>
      <c r="BS96" s="61"/>
      <c r="BT96" s="61"/>
      <c r="BU96" s="61"/>
      <c r="BV96" s="61"/>
      <c r="BW96" s="61"/>
      <c r="BX96" s="61"/>
      <c r="BY96" s="61"/>
      <c r="BZ96" s="61"/>
      <c r="CA96" s="61"/>
      <c r="CB96" s="61"/>
      <c r="CC96" s="61"/>
      <c r="CD96" s="61"/>
      <c r="CE96" s="61"/>
      <c r="CF96" s="61"/>
      <c r="CG96" s="61"/>
      <c r="CH96" s="61"/>
      <c r="CI96" s="61"/>
      <c r="CJ96" s="61"/>
      <c r="CK96" s="61"/>
      <c r="CL96" s="61"/>
      <c r="CM96" s="61"/>
      <c r="CN96" s="61"/>
      <c r="CO96" s="61"/>
      <c r="CP96" s="61"/>
      <c r="CQ96" s="61"/>
      <c r="CR96" s="59"/>
      <c r="CS96" s="59"/>
      <c r="CT96" s="59"/>
      <c r="CU96" s="59"/>
    </row>
    <row r="97" spans="1:99" s="60" customFormat="1" ht="12" customHeight="1" x14ac:dyDescent="0.2">
      <c r="A97" s="94">
        <v>43509</v>
      </c>
      <c r="B97" s="101" t="s">
        <v>203</v>
      </c>
      <c r="C97" s="101" t="s">
        <v>204</v>
      </c>
      <c r="D97" s="77">
        <v>1972</v>
      </c>
      <c r="E97" s="98">
        <v>1</v>
      </c>
      <c r="F97" s="77">
        <v>17</v>
      </c>
      <c r="G97" s="77">
        <v>17</v>
      </c>
      <c r="H97" s="77" t="s">
        <v>16</v>
      </c>
      <c r="I97" s="77" t="s">
        <v>209</v>
      </c>
      <c r="J97" s="77" t="s">
        <v>12</v>
      </c>
      <c r="K97" s="77" t="str">
        <f>IF(J97="syllables","1",IF(J97="trigrams","2",IF(J97="strings","3",IF(J97="visual array","4",IF(J97="characters","5",IF(J97="letters","6",IF(J97="free forms","7",IF(J97="odors","8",IF(J97="words","9",IF(J97="pictures","10",IF(J97="object pictures","11",IF(J97="faces","12",IF(J97="names","13",IF(J97="idioms","14",IF(J97="grades","15",IF(J97="syllable-digit pairs","16",IF(J97="trigram-word pairs","17",IF(J97="word-digit pairs","18",IF(J97="English-Swahili pairs","19",IF(J97="spatial position","20",IF(J97="word pairs","21",IF(J97="word triads","22",IF(J97="generated words","23",IF(J97="word definition pairs","24",IF(J97="math problems","25",IF(J97="famous faces","26",IF(J97="famous names","27",IF(J97="famous voices","28",IF(J97="television programs","29",IF(J97="race horses","30",IF(J97="new vocabulary","31",IF(J97="sentences","32",IF(J97="concepts","33",IF(J97="ad slides","34",IF(J97="scenes","35",IF(J97="famous scenes","36",IF(J97="poems","37",IF(J97="walk","38",IF(J97="faces and events","39",IF(J97="events and names","40",IF(J97="flashbulb","41",IF(J97="stories","42",IF(J97="course material","43",IF(J97="autobiographical","44",IF(J97="novels","45",IF(J97="public events","46",IF(J97="order","90","99")))))))))))))))))))))))))))))))))))))))))))))))</f>
        <v>9</v>
      </c>
      <c r="L97" s="77" t="str">
        <f>IF(J97="syllables","1",IF(J97="trigrams","1",IF(J97="strings","1",IF(J97="visual array","1",IF(J97="characters","1",IF(J97="letters","1",IF(J97="free forms","1",IF(J97="odors","2",IF(J97="words","2",IF(J97="pictures","2",IF(J97="object pictures","2",IF(J97="faces","2",IF(J97="names","2",IF(J97="idioms","2",IF(J97="grades","2",IF(J97="syllable-digit pairs","3",IF(J97="trigram-word pairs","3",IF(J97="word-digit pairs","3",IF(J97="English-Swahili pairs","3",IF(J97="spatial position","3",IF(J97="word pairs","4",IF(J97="word triads","4",IF(J97="generated words","4",IF(J97="word definition pairs","4",IF(J97="math problems","4",IF(J97="famous faces","4",IF(J97="famous names","4",IF(J97="famous voices","4",IF(J97="television programs","4",IF(J97="race horses","4",IF(J97="new vocabulary","4",IF(J97="sentences","5",IF(J97="concepts","5",IF(J97="ad slides","5",IF(J97="scenes","5",IF(J97="famous scenes","5",IF(J97="poems","6",IF(J97="walk","6",IF(J97="faces and events","6",IF(J97="events and names","6",IF(J97="flashbulb","7",IF(J97="stories","7",IF(J97="course material","7",IF(J97="autobiographical","7",IF(J97="novels","7",IF(J97="public events","7",IF(J97="order","90","99")))))))))))))))))))))))))))))))))))))))))))))))</f>
        <v>2</v>
      </c>
      <c r="M97" s="77" t="s">
        <v>195</v>
      </c>
      <c r="N97" s="77">
        <v>1</v>
      </c>
      <c r="O97" s="77" t="s">
        <v>195</v>
      </c>
      <c r="P97" s="77"/>
      <c r="Q97" s="77" t="s">
        <v>18</v>
      </c>
      <c r="R97" s="77" t="str">
        <f>IF(Q97="Free Recall","1",IF(Q97="Cued Recall","2",IF(Q97="Recognition","3",IF(Q97="Multiple Choice","4",IF(Q97="Savings","5",IF(Q97="Stem Completion","6",IF(Q97="Fragment Completion","7",IF(Q97="anagram solution","8",IF(Q97="Matching","9",IF(Q97="Problem Solving","10","99"))))))))))</f>
        <v>3</v>
      </c>
      <c r="S97" s="77" t="s">
        <v>196</v>
      </c>
      <c r="T97" s="96" t="s">
        <v>132</v>
      </c>
      <c r="U97" s="32">
        <f>IF(T97="within",1,0)</f>
        <v>1</v>
      </c>
      <c r="V97" s="96">
        <v>400</v>
      </c>
      <c r="W97" s="77">
        <f>F97*V97</f>
        <v>6800</v>
      </c>
      <c r="X97" s="77">
        <v>8</v>
      </c>
      <c r="Y97" s="98">
        <f>AV96</f>
        <v>54</v>
      </c>
      <c r="Z97" s="77" t="s">
        <v>208</v>
      </c>
      <c r="AA97" s="77">
        <v>1398</v>
      </c>
      <c r="AB97" s="77" t="str">
        <f>IF(AA97&lt;60,"1",IF(AA97&lt;=43200,"2",IF(AA97&lt;=777600,"3","4")))</f>
        <v>2</v>
      </c>
      <c r="AC97" s="100">
        <f>AVERAGE(AV96:DA96)</f>
        <v>378.375</v>
      </c>
      <c r="AD97" s="77" t="str">
        <f>IF(AC97&lt;60,"1",IF(AC97&lt;=43200,"2",IF(AC97&lt;=777600,"3","4")))</f>
        <v>2</v>
      </c>
      <c r="AE97" s="98">
        <f>AA97-Y97</f>
        <v>1344</v>
      </c>
      <c r="AF97" s="99">
        <f>AV97</f>
        <v>6.27</v>
      </c>
      <c r="AG97" s="100">
        <f>((AW97-AV97)+(AX97-AW97)+(AY97-AX97)+(AZ97-AY97)+(BA97-AZ97)+(BB97-BA97)+(BC97-BB97))/7</f>
        <v>-0.16571428571428562</v>
      </c>
      <c r="AH97" s="84"/>
      <c r="AI97" s="100">
        <f>RSQ(AV97:BC97,AV96:BC96)</f>
        <v>0.47771063200357067</v>
      </c>
      <c r="AJ97" s="105">
        <f>SLOPE(AV97:BC97,AV96:BC96)</f>
        <v>-5.9926162931340057E-4</v>
      </c>
      <c r="AK97" s="100">
        <f>INTERCEPT(AV97:BC97,AV96:BC96)</f>
        <v>5.7542456189914581</v>
      </c>
      <c r="AL97" s="100">
        <f>INDEX(LINEST(LN(AV97:BC97),LN(AV96:BC96),TRUE,TRUE),3,1)</f>
        <v>0.77684011517101725</v>
      </c>
      <c r="AM97" s="100">
        <f>INDEX(LINEST(LN(AV97:BC97),LN(AV96:BC96)),1)</f>
        <v>-5.5660573317711515E-2</v>
      </c>
      <c r="AN97" s="100">
        <f>EXP(INDEX(LINEST(LN(AV97:BC97),LN(AV96:BC96)),1,2))</f>
        <v>7.430253443379927</v>
      </c>
      <c r="AO97" s="104">
        <f>INDEX(LINEST((AV97:BC97),LN(AV96:BC96),TRUE,TRUE),3,1)</f>
        <v>0.75680652186189157</v>
      </c>
      <c r="AP97" s="104">
        <f>INDEX(LINEST((AV97:BC97),LN(AV96:BC96)),1)</f>
        <v>-0.30929723751963173</v>
      </c>
      <c r="AQ97" s="48">
        <f>INDEX(LINEST(LN(AV97:BC97),SQRT(AV96:BC96),TRUE,TRUE),3,1)</f>
        <v>0.6418601957199116</v>
      </c>
      <c r="AR97" s="56">
        <f>INDEX(LINEST(LN(AV97:BC97),SQRT((AV96:BC96))),1)</f>
        <v>-5.5141525246314577E-3</v>
      </c>
      <c r="AS97" s="49">
        <f>INDEX(LINEST(1/(AV97:BC97),1/(SQRT(AV96:BC96)),TRUE,TRUE),3,1)</f>
        <v>0.85460798449639686</v>
      </c>
      <c r="AT97" s="49">
        <f>INDEX(LINEST(1/(AV97:BC97),1/SQRT(AV96:BC96)),1)</f>
        <v>-0.30664230426080458</v>
      </c>
      <c r="AU97" s="63"/>
      <c r="AV97" s="65">
        <v>6.27</v>
      </c>
      <c r="AW97" s="65">
        <v>5.7</v>
      </c>
      <c r="AX97" s="65">
        <v>5.53</v>
      </c>
      <c r="AY97" s="65">
        <v>5.85</v>
      </c>
      <c r="AZ97" s="65">
        <v>5.42</v>
      </c>
      <c r="BA97" s="65">
        <v>5.22</v>
      </c>
      <c r="BB97" s="65">
        <v>5.12</v>
      </c>
      <c r="BC97" s="65">
        <v>5.1100000000000003</v>
      </c>
      <c r="BD97" s="65"/>
      <c r="BE97" s="65"/>
      <c r="BF97" s="65"/>
      <c r="BG97" s="65"/>
      <c r="BH97" s="65"/>
      <c r="BI97" s="65"/>
      <c r="BJ97" s="65"/>
      <c r="BK97" s="65"/>
      <c r="BL97" s="61"/>
      <c r="BM97" s="61"/>
      <c r="BN97" s="61"/>
      <c r="BO97" s="61"/>
      <c r="BP97" s="61"/>
      <c r="BQ97" s="61"/>
      <c r="BR97" s="61"/>
      <c r="BS97" s="61"/>
      <c r="BT97" s="61"/>
      <c r="BU97" s="61"/>
      <c r="BV97" s="61"/>
      <c r="BW97" s="61"/>
      <c r="BX97" s="61"/>
      <c r="BY97" s="61"/>
      <c r="BZ97" s="61"/>
      <c r="CA97" s="61"/>
      <c r="CB97" s="61"/>
      <c r="CC97" s="61"/>
      <c r="CD97" s="61"/>
      <c r="CE97" s="61"/>
      <c r="CF97" s="61"/>
      <c r="CG97" s="61"/>
      <c r="CH97" s="61"/>
      <c r="CI97" s="61"/>
      <c r="CJ97" s="61"/>
      <c r="CK97" s="61"/>
      <c r="CL97" s="61"/>
      <c r="CM97" s="61"/>
      <c r="CN97" s="61"/>
      <c r="CO97" s="61"/>
      <c r="CP97" s="61"/>
      <c r="CQ97" s="61"/>
      <c r="CR97" s="59"/>
      <c r="CS97" s="59"/>
      <c r="CT97" s="59"/>
      <c r="CU97" s="59"/>
    </row>
    <row r="98" spans="1:99" s="60" customFormat="1" ht="12" customHeight="1" x14ac:dyDescent="0.2">
      <c r="A98" s="94">
        <v>43509</v>
      </c>
      <c r="B98" s="101"/>
      <c r="C98" s="101"/>
      <c r="D98" s="77"/>
      <c r="E98" s="98"/>
      <c r="F98" s="77"/>
      <c r="G98" s="77"/>
      <c r="H98" s="77"/>
      <c r="I98" s="77"/>
      <c r="J98" s="77"/>
      <c r="K98" s="102"/>
      <c r="L98" s="102"/>
      <c r="M98" s="77"/>
      <c r="N98" s="77"/>
      <c r="O98" s="77"/>
      <c r="P98" s="77"/>
      <c r="Q98" s="77"/>
      <c r="R98" s="77"/>
      <c r="S98" s="77"/>
      <c r="T98" s="96"/>
      <c r="U98" s="32"/>
      <c r="V98" s="77"/>
      <c r="W98" s="77"/>
      <c r="X98" s="77"/>
      <c r="Y98" s="98"/>
      <c r="Z98" s="77"/>
      <c r="AA98" s="77"/>
      <c r="AB98" s="77"/>
      <c r="AC98" s="77"/>
      <c r="AD98" s="77"/>
      <c r="AE98" s="77"/>
      <c r="AF98" s="99"/>
      <c r="AG98" s="100"/>
      <c r="AH98" s="84"/>
      <c r="AI98" s="100"/>
      <c r="AJ98" s="105"/>
      <c r="AK98" s="100"/>
      <c r="AL98" s="100"/>
      <c r="AM98" s="100"/>
      <c r="AN98" s="100"/>
      <c r="AO98" s="100"/>
      <c r="AP98" s="100"/>
      <c r="AQ98" s="104"/>
      <c r="AR98" s="106"/>
      <c r="AS98" s="104"/>
      <c r="AT98" s="104"/>
      <c r="AU98" s="62"/>
      <c r="AV98" s="64">
        <f>60*0.9</f>
        <v>54</v>
      </c>
      <c r="AW98" s="64">
        <f>60*1.2</f>
        <v>72</v>
      </c>
      <c r="AX98" s="64">
        <f>60*1.75</f>
        <v>105</v>
      </c>
      <c r="AY98" s="64">
        <f>60*2.3</f>
        <v>138</v>
      </c>
      <c r="AZ98" s="64">
        <f>60*3.5</f>
        <v>210</v>
      </c>
      <c r="BA98" s="64">
        <f>60*5.8</f>
        <v>348</v>
      </c>
      <c r="BB98" s="64">
        <f>60*11.7</f>
        <v>702</v>
      </c>
      <c r="BC98" s="64">
        <f>60*23.3</f>
        <v>1398</v>
      </c>
      <c r="BD98" s="65"/>
      <c r="BE98" s="65"/>
      <c r="BF98" s="65"/>
      <c r="BG98" s="65"/>
      <c r="BH98" s="65"/>
      <c r="BI98" s="65"/>
      <c r="BJ98" s="65"/>
      <c r="BK98" s="65"/>
      <c r="BL98" s="61"/>
      <c r="BM98" s="61"/>
      <c r="BN98" s="61"/>
      <c r="BO98" s="61"/>
      <c r="BP98" s="61"/>
      <c r="BQ98" s="61"/>
      <c r="BR98" s="61"/>
      <c r="BS98" s="61"/>
      <c r="BT98" s="61"/>
      <c r="BU98" s="61"/>
      <c r="BV98" s="61"/>
      <c r="BW98" s="61"/>
      <c r="BX98" s="61"/>
      <c r="BY98" s="61"/>
      <c r="BZ98" s="61"/>
      <c r="CA98" s="61"/>
      <c r="CB98" s="61"/>
      <c r="CC98" s="61"/>
      <c r="CD98" s="61"/>
      <c r="CE98" s="61"/>
      <c r="CF98" s="61"/>
      <c r="CG98" s="61"/>
      <c r="CH98" s="61"/>
      <c r="CI98" s="61"/>
      <c r="CJ98" s="61"/>
      <c r="CK98" s="61"/>
      <c r="CL98" s="61"/>
      <c r="CM98" s="61"/>
      <c r="CN98" s="61"/>
      <c r="CO98" s="61"/>
      <c r="CP98" s="61"/>
      <c r="CQ98" s="61"/>
      <c r="CR98" s="59"/>
      <c r="CS98" s="59"/>
      <c r="CT98" s="59"/>
      <c r="CU98" s="59"/>
    </row>
    <row r="99" spans="1:99" s="60" customFormat="1" ht="12" customHeight="1" x14ac:dyDescent="0.2">
      <c r="A99" s="94">
        <v>43509</v>
      </c>
      <c r="B99" s="101" t="s">
        <v>203</v>
      </c>
      <c r="C99" s="101" t="s">
        <v>204</v>
      </c>
      <c r="D99" s="77">
        <v>1972</v>
      </c>
      <c r="E99" s="98">
        <v>1</v>
      </c>
      <c r="F99" s="77">
        <v>17</v>
      </c>
      <c r="G99" s="77">
        <v>17</v>
      </c>
      <c r="H99" s="77" t="s">
        <v>16</v>
      </c>
      <c r="I99" s="77" t="s">
        <v>210</v>
      </c>
      <c r="J99" s="77" t="s">
        <v>12</v>
      </c>
      <c r="K99" s="77" t="str">
        <f>IF(J99="syllables","1",IF(J99="trigrams","2",IF(J99="strings","3",IF(J99="visual array","4",IF(J99="characters","5",IF(J99="letters","6",IF(J99="free forms","7",IF(J99="odors","8",IF(J99="words","9",IF(J99="pictures","10",IF(J99="object pictures","11",IF(J99="faces","12",IF(J99="names","13",IF(J99="idioms","14",IF(J99="grades","15",IF(J99="syllable-digit pairs","16",IF(J99="trigram-word pairs","17",IF(J99="word-digit pairs","18",IF(J99="English-Swahili pairs","19",IF(J99="spatial position","20",IF(J99="word pairs","21",IF(J99="word triads","22",IF(J99="generated words","23",IF(J99="word definition pairs","24",IF(J99="math problems","25",IF(J99="famous faces","26",IF(J99="famous names","27",IF(J99="famous voices","28",IF(J99="television programs","29",IF(J99="race horses","30",IF(J99="new vocabulary","31",IF(J99="sentences","32",IF(J99="concepts","33",IF(J99="ad slides","34",IF(J99="scenes","35",IF(J99="famous scenes","36",IF(J99="poems","37",IF(J99="walk","38",IF(J99="faces and events","39",IF(J99="events and names","40",IF(J99="flashbulb","41",IF(J99="stories","42",IF(J99="course material","43",IF(J99="autobiographical","44",IF(J99="novels","45",IF(J99="public events","46",IF(J99="order","90","99")))))))))))))))))))))))))))))))))))))))))))))))</f>
        <v>9</v>
      </c>
      <c r="L99" s="77" t="str">
        <f>IF(J99="syllables","1",IF(J99="trigrams","1",IF(J99="strings","1",IF(J99="visual array","1",IF(J99="characters","1",IF(J99="letters","1",IF(J99="free forms","1",IF(J99="odors","2",IF(J99="words","2",IF(J99="pictures","2",IF(J99="object pictures","2",IF(J99="faces","2",IF(J99="names","2",IF(J99="idioms","2",IF(J99="grades","2",IF(J99="syllable-digit pairs","3",IF(J99="trigram-word pairs","3",IF(J99="word-digit pairs","3",IF(J99="English-Swahili pairs","3",IF(J99="spatial position","3",IF(J99="word pairs","4",IF(J99="word triads","4",IF(J99="generated words","4",IF(J99="word definition pairs","4",IF(J99="math problems","4",IF(J99="famous faces","4",IF(J99="famous names","4",IF(J99="famous voices","4",IF(J99="television programs","4",IF(J99="race horses","4",IF(J99="new vocabulary","4",IF(J99="sentences","5",IF(J99="concepts","5",IF(J99="ad slides","5",IF(J99="scenes","5",IF(J99="famous scenes","5",IF(J99="poems","6",IF(J99="walk","6",IF(J99="faces and events","6",IF(J99="events and names","6",IF(J99="flashbulb","7",IF(J99="stories","7",IF(J99="course material","7",IF(J99="autobiographical","7",IF(J99="novels","7",IF(J99="public events","7",IF(J99="order","90","99")))))))))))))))))))))))))))))))))))))))))))))))</f>
        <v>2</v>
      </c>
      <c r="M99" s="77" t="s">
        <v>195</v>
      </c>
      <c r="N99" s="77">
        <v>1</v>
      </c>
      <c r="O99" s="77" t="s">
        <v>195</v>
      </c>
      <c r="P99" s="77"/>
      <c r="Q99" s="77" t="s">
        <v>18</v>
      </c>
      <c r="R99" s="77" t="str">
        <f>IF(Q99="Free Recall","1",IF(Q99="Cued Recall","2",IF(Q99="Recognition","3",IF(Q99="Multiple Choice","4",IF(Q99="Savings","5",IF(Q99="Stem Completion","6",IF(Q99="Fragment Completion","7",IF(Q99="anagram solution","8",IF(Q99="Matching","9",IF(Q99="Problem Solving","10","99"))))))))))</f>
        <v>3</v>
      </c>
      <c r="S99" s="77" t="s">
        <v>196</v>
      </c>
      <c r="T99" s="96" t="s">
        <v>132</v>
      </c>
      <c r="U99" s="32">
        <f>IF(T99="within",1,0)</f>
        <v>1</v>
      </c>
      <c r="V99" s="96">
        <v>400</v>
      </c>
      <c r="W99" s="77">
        <f>F99*V99</f>
        <v>6800</v>
      </c>
      <c r="X99" s="77">
        <v>8</v>
      </c>
      <c r="Y99" s="98">
        <f>AV98</f>
        <v>54</v>
      </c>
      <c r="Z99" s="77" t="s">
        <v>208</v>
      </c>
      <c r="AA99" s="77">
        <v>1398</v>
      </c>
      <c r="AB99" s="77" t="str">
        <f>IF(AA99&lt;60,"1",IF(AA99&lt;=43200,"2",IF(AA99&lt;=777600,"3","4")))</f>
        <v>2</v>
      </c>
      <c r="AC99" s="100">
        <f>AVERAGE(AV98:DA98)</f>
        <v>378.375</v>
      </c>
      <c r="AD99" s="77" t="str">
        <f>IF(AC99&lt;60,"1",IF(AC99&lt;=43200,"2",IF(AC99&lt;=777600,"3","4")))</f>
        <v>2</v>
      </c>
      <c r="AE99" s="98">
        <f>AA99-Y99</f>
        <v>1344</v>
      </c>
      <c r="AF99" s="99">
        <f>AV99</f>
        <v>4.07</v>
      </c>
      <c r="AG99" s="100">
        <f>((AW99-AV99)+(AX99-AW99)+(AY99-AX99)+(AZ99-AY99)+(BA99-AZ99)+(BB99-BA99)+(BC99-BB99))/7</f>
        <v>-0.18714285714285722</v>
      </c>
      <c r="AH99" s="84"/>
      <c r="AI99" s="100">
        <f>RSQ(AV99:BC99,AV98:BC98)</f>
        <v>0.44594809465621454</v>
      </c>
      <c r="AJ99" s="105">
        <f>SLOPE(AV99:BC99,AV98:BC98)</f>
        <v>-8.3571065375875745E-4</v>
      </c>
      <c r="AK99" s="100">
        <f>INTERCEPT(AV99:BC99,AV98:BC98)</f>
        <v>3.5912120186159702</v>
      </c>
      <c r="AL99" s="100">
        <f>INDEX(LINEST(LN(AV99:BC99),LN(AV98:BC98),TRUE,TRUE),3,1)</f>
        <v>0.78317801040679513</v>
      </c>
      <c r="AM99" s="100">
        <f>INDEX(LINEST(LN(AV99:BC99),LN(AV98:BC98)),1)</f>
        <v>-0.13662508109794766</v>
      </c>
      <c r="AN99" s="100">
        <f>EXP(INDEX(LINEST(LN(AV99:BC99),LN(AV98:BC98)),1,2))</f>
        <v>6.7163055221887618</v>
      </c>
      <c r="AO99" s="104">
        <f>INDEX(LINEST((AV99:BC99),LN(AV98:BC98),TRUE,TRUE),3,1)</f>
        <v>0.76439374076565869</v>
      </c>
      <c r="AP99" s="104">
        <f>INDEX(LINEST((AV99:BC99),LN(AV98:BC98)),1)</f>
        <v>-0.44866473393314893</v>
      </c>
      <c r="AQ99" s="48">
        <f>INDEX(LINEST(LN(AV99:BC99),SQRT(AV98:BC98),TRUE,TRUE),3,1)</f>
        <v>0.62987368626171492</v>
      </c>
      <c r="AR99" s="56">
        <f>INDEX(LINEST(LN(AV99:BC99),SQRT((AV98:BC98))),1)</f>
        <v>-1.3353761710554114E-2</v>
      </c>
      <c r="AS99" s="49">
        <f>INDEX(LINEST(1/(AV99:BC99),1/(SQRT(AV98:BC98)),TRUE,TRUE),3,1)</f>
        <v>0.85416226711804555</v>
      </c>
      <c r="AT99" s="49">
        <f>INDEX(LINEST(1/(AV99:BC99),1/SQRT(AV98:BC98)),1)</f>
        <v>-1.2919050763565958</v>
      </c>
      <c r="AU99" s="63"/>
      <c r="AV99" s="65">
        <v>4.07</v>
      </c>
      <c r="AW99" s="65">
        <v>4.12</v>
      </c>
      <c r="AX99" s="65">
        <v>3.46</v>
      </c>
      <c r="AY99" s="65">
        <v>3</v>
      </c>
      <c r="AZ99" s="65">
        <v>3.27</v>
      </c>
      <c r="BA99" s="65">
        <v>2.99</v>
      </c>
      <c r="BB99" s="65">
        <v>2.5299999999999998</v>
      </c>
      <c r="BC99" s="65">
        <v>2.76</v>
      </c>
      <c r="BD99" s="65"/>
      <c r="BE99" s="65"/>
      <c r="BF99" s="65"/>
      <c r="BG99" s="65"/>
      <c r="BH99" s="65"/>
      <c r="BI99" s="65"/>
      <c r="BJ99" s="65"/>
      <c r="BK99" s="65"/>
      <c r="BL99" s="61"/>
      <c r="BM99" s="61"/>
      <c r="BN99" s="61"/>
      <c r="BO99" s="61"/>
      <c r="BP99" s="61"/>
      <c r="BQ99" s="61"/>
      <c r="BR99" s="61"/>
      <c r="BS99" s="61"/>
      <c r="BT99" s="61"/>
      <c r="BU99" s="61"/>
      <c r="BV99" s="61"/>
      <c r="BW99" s="61"/>
      <c r="BX99" s="61"/>
      <c r="BY99" s="61"/>
      <c r="BZ99" s="61"/>
      <c r="CA99" s="61"/>
      <c r="CB99" s="61"/>
      <c r="CC99" s="61"/>
      <c r="CD99" s="61"/>
      <c r="CE99" s="61"/>
      <c r="CF99" s="61"/>
      <c r="CG99" s="61"/>
      <c r="CH99" s="61"/>
      <c r="CI99" s="61"/>
      <c r="CJ99" s="61"/>
      <c r="CK99" s="61"/>
      <c r="CL99" s="61"/>
      <c r="CM99" s="61"/>
      <c r="CN99" s="61"/>
      <c r="CO99" s="61"/>
      <c r="CP99" s="61"/>
      <c r="CQ99" s="61"/>
      <c r="CR99" s="59"/>
      <c r="CS99" s="59"/>
      <c r="CT99" s="59"/>
      <c r="CU99" s="59"/>
    </row>
    <row r="100" spans="1:99" s="60" customFormat="1" ht="12" customHeight="1" x14ac:dyDescent="0.2">
      <c r="A100" s="94">
        <v>43509</v>
      </c>
      <c r="B100" s="101"/>
      <c r="C100" s="101"/>
      <c r="D100" s="77"/>
      <c r="E100" s="98"/>
      <c r="F100" s="77"/>
      <c r="G100" s="77"/>
      <c r="H100" s="77"/>
      <c r="I100" s="77"/>
      <c r="J100" s="77"/>
      <c r="K100" s="102"/>
      <c r="L100" s="102"/>
      <c r="M100" s="77"/>
      <c r="N100" s="77"/>
      <c r="O100" s="77"/>
      <c r="P100" s="77"/>
      <c r="Q100" s="77"/>
      <c r="R100" s="77"/>
      <c r="S100" s="77"/>
      <c r="T100" s="96"/>
      <c r="U100" s="32"/>
      <c r="V100" s="77"/>
      <c r="W100" s="77"/>
      <c r="X100" s="77"/>
      <c r="Y100" s="98"/>
      <c r="Z100" s="77"/>
      <c r="AA100" s="77"/>
      <c r="AB100" s="77"/>
      <c r="AC100" s="77"/>
      <c r="AD100" s="77"/>
      <c r="AE100" s="77"/>
      <c r="AF100" s="99"/>
      <c r="AG100" s="100"/>
      <c r="AH100" s="84"/>
      <c r="AI100" s="100"/>
      <c r="AJ100" s="105"/>
      <c r="AK100" s="100"/>
      <c r="AL100" s="100"/>
      <c r="AM100" s="100"/>
      <c r="AN100" s="100"/>
      <c r="AO100" s="100"/>
      <c r="AP100" s="100"/>
      <c r="AQ100" s="104"/>
      <c r="AR100" s="106"/>
      <c r="AS100" s="104"/>
      <c r="AT100" s="104"/>
      <c r="AU100" s="62"/>
      <c r="AV100" s="64">
        <f>60*0.9</f>
        <v>54</v>
      </c>
      <c r="AW100" s="64">
        <f>60*1.2</f>
        <v>72</v>
      </c>
      <c r="AX100" s="64">
        <f>60*1.75</f>
        <v>105</v>
      </c>
      <c r="AY100" s="64">
        <f>60*2.3</f>
        <v>138</v>
      </c>
      <c r="AZ100" s="64">
        <f>60*3.5</f>
        <v>210</v>
      </c>
      <c r="BA100" s="64">
        <f>60*5.8</f>
        <v>348</v>
      </c>
      <c r="BB100" s="64">
        <f>60*11.7</f>
        <v>702</v>
      </c>
      <c r="BC100" s="64">
        <f>60*23.3</f>
        <v>1398</v>
      </c>
      <c r="BD100" s="65"/>
      <c r="BE100" s="65"/>
      <c r="BF100" s="65"/>
      <c r="BG100" s="65"/>
      <c r="BH100" s="65"/>
      <c r="BI100" s="65"/>
      <c r="BJ100" s="65"/>
      <c r="BK100" s="65"/>
      <c r="BL100" s="61"/>
      <c r="BM100" s="61"/>
      <c r="BN100" s="61"/>
      <c r="BO100" s="61"/>
      <c r="BP100" s="61"/>
      <c r="BQ100" s="61"/>
      <c r="BR100" s="61"/>
      <c r="BS100" s="61"/>
      <c r="BT100" s="61"/>
      <c r="BU100" s="61"/>
      <c r="BV100" s="61"/>
      <c r="BW100" s="61"/>
      <c r="BX100" s="61"/>
      <c r="BY100" s="61"/>
      <c r="BZ100" s="61"/>
      <c r="CA100" s="61"/>
      <c r="CB100" s="61"/>
      <c r="CC100" s="61"/>
      <c r="CD100" s="61"/>
      <c r="CE100" s="61"/>
      <c r="CF100" s="61"/>
      <c r="CG100" s="61"/>
      <c r="CH100" s="61"/>
      <c r="CI100" s="61"/>
      <c r="CJ100" s="61"/>
      <c r="CK100" s="61"/>
      <c r="CL100" s="61"/>
      <c r="CM100" s="61"/>
      <c r="CN100" s="61"/>
      <c r="CO100" s="61"/>
      <c r="CP100" s="61"/>
      <c r="CQ100" s="61"/>
      <c r="CR100" s="59"/>
      <c r="CS100" s="59"/>
      <c r="CT100" s="59"/>
      <c r="CU100" s="59"/>
    </row>
    <row r="101" spans="1:99" s="60" customFormat="1" ht="12" customHeight="1" x14ac:dyDescent="0.2">
      <c r="A101" s="94">
        <v>43509</v>
      </c>
      <c r="B101" s="101" t="s">
        <v>203</v>
      </c>
      <c r="C101" s="101" t="s">
        <v>204</v>
      </c>
      <c r="D101" s="77">
        <v>1972</v>
      </c>
      <c r="E101" s="98">
        <v>1</v>
      </c>
      <c r="F101" s="77">
        <v>17</v>
      </c>
      <c r="G101" s="77">
        <v>17</v>
      </c>
      <c r="H101" s="77" t="s">
        <v>16</v>
      </c>
      <c r="I101" s="77" t="s">
        <v>211</v>
      </c>
      <c r="J101" s="77" t="s">
        <v>12</v>
      </c>
      <c r="K101" s="77" t="str">
        <f>IF(J101="syllables","1",IF(J101="trigrams","2",IF(J101="strings","3",IF(J101="visual array","4",IF(J101="characters","5",IF(J101="letters","6",IF(J101="free forms","7",IF(J101="odors","8",IF(J101="words","9",IF(J101="pictures","10",IF(J101="object pictures","11",IF(J101="faces","12",IF(J101="names","13",IF(J101="idioms","14",IF(J101="grades","15",IF(J101="syllable-digit pairs","16",IF(J101="trigram-word pairs","17",IF(J101="word-digit pairs","18",IF(J101="English-Swahili pairs","19",IF(J101="spatial position","20",IF(J101="word pairs","21",IF(J101="word triads","22",IF(J101="generated words","23",IF(J101="word definition pairs","24",IF(J101="math problems","25",IF(J101="famous faces","26",IF(J101="famous names","27",IF(J101="famous voices","28",IF(J101="television programs","29",IF(J101="race horses","30",IF(J101="new vocabulary","31",IF(J101="sentences","32",IF(J101="concepts","33",IF(J101="ad slides","34",IF(J101="scenes","35",IF(J101="famous scenes","36",IF(J101="poems","37",IF(J101="walk","38",IF(J101="faces and events","39",IF(J101="events and names","40",IF(J101="flashbulb","41",IF(J101="stories","42",IF(J101="course material","43",IF(J101="autobiographical","44",IF(J101="novels","45",IF(J101="public events","46",IF(J101="order","90","99")))))))))))))))))))))))))))))))))))))))))))))))</f>
        <v>9</v>
      </c>
      <c r="L101" s="77" t="str">
        <f>IF(J101="syllables","1",IF(J101="trigrams","1",IF(J101="strings","1",IF(J101="visual array","1",IF(J101="characters","1",IF(J101="letters","1",IF(J101="free forms","1",IF(J101="odors","2",IF(J101="words","2",IF(J101="pictures","2",IF(J101="object pictures","2",IF(J101="faces","2",IF(J101="names","2",IF(J101="idioms","2",IF(J101="grades","2",IF(J101="syllable-digit pairs","3",IF(J101="trigram-word pairs","3",IF(J101="word-digit pairs","3",IF(J101="English-Swahili pairs","3",IF(J101="spatial position","3",IF(J101="word pairs","4",IF(J101="word triads","4",IF(J101="generated words","4",IF(J101="word definition pairs","4",IF(J101="math problems","4",IF(J101="famous faces","4",IF(J101="famous names","4",IF(J101="famous voices","4",IF(J101="television programs","4",IF(J101="race horses","4",IF(J101="new vocabulary","4",IF(J101="sentences","5",IF(J101="concepts","5",IF(J101="ad slides","5",IF(J101="scenes","5",IF(J101="famous scenes","5",IF(J101="poems","6",IF(J101="walk","6",IF(J101="faces and events","6",IF(J101="events and names","6",IF(J101="flashbulb","7",IF(J101="stories","7",IF(J101="course material","7",IF(J101="autobiographical","7",IF(J101="novels","7",IF(J101="public events","7",IF(J101="order","90","99")))))))))))))))))))))))))))))))))))))))))))))))</f>
        <v>2</v>
      </c>
      <c r="M101" s="77" t="s">
        <v>195</v>
      </c>
      <c r="N101" s="77">
        <v>1</v>
      </c>
      <c r="O101" s="77" t="s">
        <v>195</v>
      </c>
      <c r="P101" s="77"/>
      <c r="Q101" s="77" t="s">
        <v>18</v>
      </c>
      <c r="R101" s="77" t="str">
        <f>IF(Q101="Free Recall","1",IF(Q101="Cued Recall","2",IF(Q101="Recognition","3",IF(Q101="Multiple Choice","4",IF(Q101="Savings","5",IF(Q101="Stem Completion","6",IF(Q101="Fragment Completion","7",IF(Q101="anagram solution","8",IF(Q101="Matching","9",IF(Q101="Problem Solving","10","99"))))))))))</f>
        <v>3</v>
      </c>
      <c r="S101" s="77" t="s">
        <v>196</v>
      </c>
      <c r="T101" s="96" t="s">
        <v>132</v>
      </c>
      <c r="U101" s="32">
        <f>IF(T101="within",1,0)</f>
        <v>1</v>
      </c>
      <c r="V101" s="96">
        <v>400</v>
      </c>
      <c r="W101" s="77">
        <f>F101*V101</f>
        <v>6800</v>
      </c>
      <c r="X101" s="77">
        <v>8</v>
      </c>
      <c r="Y101" s="98">
        <f>AV100</f>
        <v>54</v>
      </c>
      <c r="Z101" s="77" t="s">
        <v>208</v>
      </c>
      <c r="AA101" s="77">
        <v>1398</v>
      </c>
      <c r="AB101" s="77" t="str">
        <f>IF(AA101&lt;60,"1",IF(AA101&lt;=43200,"2",IF(AA101&lt;=777600,"3","4")))</f>
        <v>2</v>
      </c>
      <c r="AC101" s="100">
        <f>AVERAGE(AV100:DA100)</f>
        <v>378.375</v>
      </c>
      <c r="AD101" s="77" t="str">
        <f>IF(AC101&lt;60,"1",IF(AC101&lt;=43200,"2",IF(AC101&lt;=777600,"3","4")))</f>
        <v>2</v>
      </c>
      <c r="AE101" s="98">
        <f>AA101-Y101</f>
        <v>1344</v>
      </c>
      <c r="AF101" s="99">
        <f>AV101</f>
        <v>3.24</v>
      </c>
      <c r="AG101" s="100">
        <f>((AW101-AV101)+(AX101-AW101)+(AY101-AX101)+(AZ101-AY101)+(BA101-AZ101)+(BB101-BA101)+(BC101-BB101))/7</f>
        <v>-0.19714285714285715</v>
      </c>
      <c r="AH101" s="84"/>
      <c r="AI101" s="100">
        <f>RSQ(AV101:BC101,AV100:BC100)</f>
        <v>0.64078165454001634</v>
      </c>
      <c r="AJ101" s="105">
        <f>SLOPE(AV101:BC101,AV100:BC100)</f>
        <v>-9.5057191465911699E-4</v>
      </c>
      <c r="AK101" s="100">
        <f>INTERCEPT(AV101:BC101,AV100:BC100)</f>
        <v>2.9659226482091436</v>
      </c>
      <c r="AL101" s="100">
        <f>INDEX(LINEST(LN(AV101:BC101),LN(AV100:BC100),TRUE,TRUE),3,1)</f>
        <v>0.83846799224343505</v>
      </c>
      <c r="AM101" s="100">
        <f>INDEX(LINEST(LN(AV101:BC101),LN(AV100:BC100)),1)</f>
        <v>-0.17541803033396614</v>
      </c>
      <c r="AN101" s="100">
        <f>EXP(INDEX(LINEST(LN(AV101:BC101),LN(AV100:BC100)),1,2))</f>
        <v>6.5349191390091343</v>
      </c>
      <c r="AO101" s="104">
        <f>INDEX(LINEST((AV101:BC101),LN(AV100:BC100),TRUE,TRUE),3,1)</f>
        <v>0.80025652434896766</v>
      </c>
      <c r="AP101" s="104">
        <f>INDEX(LINEST((AV101:BC101),LN(AV100:BC100)),1)</f>
        <v>-0.43560629442134008</v>
      </c>
      <c r="AQ101" s="48">
        <f>INDEX(LINEST(LN(AV101:BC101),SQRT(AV100:BC100),TRUE,TRUE),3,1)</f>
        <v>0.80218822270644152</v>
      </c>
      <c r="AR101" s="56">
        <f>INDEX(LINEST(LN(AV101:BC101),SQRT((AV100:BC100))),1)</f>
        <v>-1.8700181689598066E-2</v>
      </c>
      <c r="AS101" s="49">
        <f>INDEX(LINEST(1/(AV101:BC101),1/(SQRT(AV100:BC100)),TRUE,TRUE),3,1)</f>
        <v>0.78650211228624489</v>
      </c>
      <c r="AT101" s="49">
        <f>INDEX(LINEST(1/(AV101:BC101),1/SQRT(AV100:BC100)),1)</f>
        <v>-2.026346775647486</v>
      </c>
      <c r="AU101" s="63"/>
      <c r="AV101" s="65">
        <v>3.24</v>
      </c>
      <c r="AW101" s="65">
        <v>2.88</v>
      </c>
      <c r="AX101" s="65">
        <v>3.34</v>
      </c>
      <c r="AY101" s="65">
        <v>2.4300000000000002</v>
      </c>
      <c r="AZ101" s="65">
        <v>2.82</v>
      </c>
      <c r="BA101" s="65">
        <v>2.2799999999999998</v>
      </c>
      <c r="BB101" s="65">
        <v>2</v>
      </c>
      <c r="BC101" s="65">
        <v>1.86</v>
      </c>
      <c r="BD101" s="65"/>
      <c r="BE101" s="65"/>
      <c r="BF101" s="65"/>
      <c r="BG101" s="65"/>
      <c r="BH101" s="65"/>
      <c r="BI101" s="65"/>
      <c r="BJ101" s="65"/>
      <c r="BK101" s="65"/>
      <c r="BL101" s="61"/>
      <c r="BM101" s="61"/>
      <c r="BN101" s="61"/>
      <c r="BO101" s="61"/>
      <c r="BP101" s="61"/>
      <c r="BQ101" s="61"/>
      <c r="BR101" s="61"/>
      <c r="BS101" s="61"/>
      <c r="BT101" s="61"/>
      <c r="BU101" s="61"/>
      <c r="BV101" s="61"/>
      <c r="BW101" s="61"/>
      <c r="BX101" s="61"/>
      <c r="BY101" s="61"/>
      <c r="BZ101" s="61"/>
      <c r="CA101" s="61"/>
      <c r="CB101" s="61"/>
      <c r="CC101" s="61"/>
      <c r="CD101" s="61"/>
      <c r="CE101" s="61"/>
      <c r="CF101" s="61"/>
      <c r="CG101" s="61"/>
      <c r="CH101" s="61"/>
      <c r="CI101" s="61"/>
      <c r="CJ101" s="61"/>
      <c r="CK101" s="61"/>
      <c r="CL101" s="61"/>
      <c r="CM101" s="61"/>
      <c r="CN101" s="61"/>
      <c r="CO101" s="61"/>
      <c r="CP101" s="61"/>
      <c r="CQ101" s="61"/>
      <c r="CR101" s="59"/>
      <c r="CS101" s="59"/>
      <c r="CT101" s="59"/>
      <c r="CU101" s="59"/>
    </row>
    <row r="102" spans="1:99" s="60" customFormat="1" ht="12" customHeight="1" x14ac:dyDescent="0.2">
      <c r="A102" s="94">
        <v>43509</v>
      </c>
      <c r="B102" s="101"/>
      <c r="C102" s="101"/>
      <c r="D102" s="77"/>
      <c r="E102" s="98"/>
      <c r="F102" s="77"/>
      <c r="G102" s="77"/>
      <c r="H102" s="77"/>
      <c r="I102" s="77"/>
      <c r="J102" s="77"/>
      <c r="K102" s="102"/>
      <c r="L102" s="102"/>
      <c r="M102" s="77"/>
      <c r="N102" s="77"/>
      <c r="O102" s="77"/>
      <c r="P102" s="77"/>
      <c r="Q102" s="77"/>
      <c r="R102" s="77"/>
      <c r="S102" s="77"/>
      <c r="T102" s="96"/>
      <c r="U102" s="32"/>
      <c r="V102" s="77"/>
      <c r="W102" s="77"/>
      <c r="X102" s="77"/>
      <c r="Y102" s="98"/>
      <c r="Z102" s="77"/>
      <c r="AA102" s="77"/>
      <c r="AB102" s="77"/>
      <c r="AC102" s="77"/>
      <c r="AD102" s="77"/>
      <c r="AE102" s="77"/>
      <c r="AF102" s="99"/>
      <c r="AG102" s="100"/>
      <c r="AH102" s="84"/>
      <c r="AI102" s="100"/>
      <c r="AJ102" s="105"/>
      <c r="AK102" s="100"/>
      <c r="AL102" s="100"/>
      <c r="AM102" s="100"/>
      <c r="AN102" s="100"/>
      <c r="AO102" s="100"/>
      <c r="AP102" s="100"/>
      <c r="AQ102" s="104"/>
      <c r="AR102" s="106"/>
      <c r="AS102" s="104"/>
      <c r="AT102" s="104"/>
      <c r="AU102" s="62"/>
      <c r="AV102" s="64">
        <f>60*1</f>
        <v>60</v>
      </c>
      <c r="AW102" s="64">
        <f>60*2</f>
        <v>120</v>
      </c>
      <c r="AX102" s="64">
        <f>60*5</f>
        <v>300</v>
      </c>
      <c r="AY102" s="64">
        <f>60*10</f>
        <v>600</v>
      </c>
      <c r="AZ102" s="64">
        <f>60*20</f>
        <v>1200</v>
      </c>
      <c r="BA102" s="64">
        <f>60*30</f>
        <v>1800</v>
      </c>
      <c r="BB102" s="64">
        <f>60*60</f>
        <v>3600</v>
      </c>
      <c r="BC102" s="65"/>
      <c r="BD102" s="65"/>
      <c r="BE102" s="65"/>
      <c r="BF102" s="65"/>
      <c r="BG102" s="65"/>
      <c r="BH102" s="65"/>
      <c r="BI102" s="65"/>
      <c r="BJ102" s="65"/>
      <c r="BK102" s="65"/>
      <c r="BL102" s="61"/>
      <c r="BM102" s="61"/>
      <c r="BN102" s="61"/>
      <c r="BO102" s="61"/>
      <c r="BP102" s="61"/>
      <c r="BQ102" s="61"/>
      <c r="BR102" s="61"/>
      <c r="BS102" s="61"/>
      <c r="BT102" s="61"/>
      <c r="BU102" s="61"/>
      <c r="BV102" s="61"/>
      <c r="BW102" s="61"/>
      <c r="BX102" s="61"/>
      <c r="BY102" s="61"/>
      <c r="BZ102" s="61"/>
      <c r="CA102" s="61"/>
      <c r="CB102" s="61"/>
      <c r="CC102" s="61"/>
      <c r="CD102" s="61"/>
      <c r="CE102" s="61"/>
      <c r="CF102" s="61"/>
      <c r="CG102" s="61"/>
      <c r="CH102" s="61"/>
      <c r="CI102" s="61"/>
      <c r="CJ102" s="61"/>
      <c r="CK102" s="61"/>
      <c r="CL102" s="61"/>
      <c r="CM102" s="61"/>
      <c r="CN102" s="61"/>
      <c r="CO102" s="61"/>
      <c r="CP102" s="61"/>
      <c r="CQ102" s="61"/>
      <c r="CR102" s="59"/>
      <c r="CS102" s="59"/>
      <c r="CT102" s="59"/>
      <c r="CU102" s="59"/>
    </row>
    <row r="103" spans="1:99" s="60" customFormat="1" ht="12" customHeight="1" x14ac:dyDescent="0.2">
      <c r="A103" s="94">
        <v>43509</v>
      </c>
      <c r="B103" s="101" t="s">
        <v>203</v>
      </c>
      <c r="C103" s="101" t="s">
        <v>204</v>
      </c>
      <c r="D103" s="77">
        <v>1972</v>
      </c>
      <c r="E103" s="98">
        <v>1</v>
      </c>
      <c r="F103" s="77">
        <v>17</v>
      </c>
      <c r="G103" s="77">
        <v>17</v>
      </c>
      <c r="H103" s="77" t="s">
        <v>25</v>
      </c>
      <c r="I103" s="77" t="s">
        <v>212</v>
      </c>
      <c r="J103" s="77" t="s">
        <v>12</v>
      </c>
      <c r="K103" s="77" t="str">
        <f>IF(J103="syllables","1",IF(J103="trigrams","2",IF(J103="strings","3",IF(J103="visual array","4",IF(J103="characters","5",IF(J103="letters","6",IF(J103="free forms","7",IF(J103="odors","8",IF(J103="words","9",IF(J103="pictures","10",IF(J103="object pictures","11",IF(J103="faces","12",IF(J103="names","13",IF(J103="idioms","14",IF(J103="grades","15",IF(J103="syllable-digit pairs","16",IF(J103="trigram-word pairs","17",IF(J103="word-digit pairs","18",IF(J103="English-Swahili pairs","19",IF(J103="spatial position","20",IF(J103="word pairs","21",IF(J103="word triads","22",IF(J103="generated words","23",IF(J103="word definition pairs","24",IF(J103="math problems","25",IF(J103="famous faces","26",IF(J103="famous names","27",IF(J103="famous voices","28",IF(J103="television programs","29",IF(J103="race horses","30",IF(J103="new vocabulary","31",IF(J103="sentences","32",IF(J103="concepts","33",IF(J103="ad slides","34",IF(J103="scenes","35",IF(J103="famous scenes","36",IF(J103="poems","37",IF(J103="walk","38",IF(J103="faces and events","39",IF(J103="events and names","40",IF(J103="flashbulb","41",IF(J103="stories","42",IF(J103="course material","43",IF(J103="autobiographical","44",IF(J103="novels","45",IF(J103="public events","46",IF(J103="order","90","99")))))))))))))))))))))))))))))))))))))))))))))))</f>
        <v>9</v>
      </c>
      <c r="L103" s="77" t="str">
        <f>IF(J103="syllables","1",IF(J103="trigrams","1",IF(J103="strings","1",IF(J103="visual array","1",IF(J103="characters","1",IF(J103="letters","1",IF(J103="free forms","1",IF(J103="odors","2",IF(J103="words","2",IF(J103="pictures","2",IF(J103="object pictures","2",IF(J103="faces","2",IF(J103="names","2",IF(J103="idioms","2",IF(J103="grades","2",IF(J103="syllable-digit pairs","3",IF(J103="trigram-word pairs","3",IF(J103="word-digit pairs","3",IF(J103="English-Swahili pairs","3",IF(J103="spatial position","3",IF(J103="word pairs","4",IF(J103="word triads","4",IF(J103="generated words","4",IF(J103="word definition pairs","4",IF(J103="math problems","4",IF(J103="famous faces","4",IF(J103="famous names","4",IF(J103="famous voices","4",IF(J103="television programs","4",IF(J103="race horses","4",IF(J103="new vocabulary","4",IF(J103="sentences","5",IF(J103="concepts","5",IF(J103="ad slides","5",IF(J103="scenes","5",IF(J103="famous scenes","5",IF(J103="poems","6",IF(J103="walk","6",IF(J103="faces and events","6",IF(J103="events and names","6",IF(J103="flashbulb","7",IF(J103="stories","7",IF(J103="course material","7",IF(J103="autobiographical","7",IF(J103="novels","7",IF(J103="public events","7",IF(J103="order","90","99")))))))))))))))))))))))))))))))))))))))))))))))</f>
        <v>2</v>
      </c>
      <c r="M103" s="77" t="s">
        <v>213</v>
      </c>
      <c r="N103" s="77">
        <v>3</v>
      </c>
      <c r="O103" s="77" t="s">
        <v>195</v>
      </c>
      <c r="P103" s="77"/>
      <c r="Q103" s="77" t="s">
        <v>18</v>
      </c>
      <c r="R103" s="77" t="str">
        <f>IF(Q103="Free Recall","1",IF(Q103="Cued Recall","2",IF(Q103="Recognition","3",IF(Q103="Multiple Choice","4",IF(Q103="Savings","5",IF(Q103="Stem Completion","6",IF(Q103="Fragment Completion","7",IF(Q103="anagram solution","8",IF(Q103="Matching","9",IF(Q103="Problem Solving","10","99"))))))))))</f>
        <v>3</v>
      </c>
      <c r="S103" s="77" t="s">
        <v>196</v>
      </c>
      <c r="T103" s="96" t="s">
        <v>132</v>
      </c>
      <c r="U103" s="32">
        <f>IF(T103="within",1,0)</f>
        <v>1</v>
      </c>
      <c r="V103" s="96">
        <v>400</v>
      </c>
      <c r="W103" s="77">
        <f>F103*V103</f>
        <v>6800</v>
      </c>
      <c r="X103" s="77">
        <v>7</v>
      </c>
      <c r="Y103" s="98">
        <f>AV102</f>
        <v>60</v>
      </c>
      <c r="Z103" s="77" t="s">
        <v>214</v>
      </c>
      <c r="AA103" s="77">
        <v>3600</v>
      </c>
      <c r="AB103" s="77" t="str">
        <f>IF(AA103&lt;60,"1",IF(AA103&lt;=43200,"2",IF(AA103&lt;=777600,"3","4")))</f>
        <v>2</v>
      </c>
      <c r="AC103" s="100">
        <f>AVERAGE(AV102:DA102)</f>
        <v>1097.1428571428571</v>
      </c>
      <c r="AD103" s="77" t="str">
        <f>IF(AC103&lt;60,"1",IF(AC103&lt;=43200,"2",IF(AC103&lt;=777600,"3","4")))</f>
        <v>2</v>
      </c>
      <c r="AE103" s="98">
        <f>AA103-Y103</f>
        <v>3540</v>
      </c>
      <c r="AF103" s="99">
        <f>AV103</f>
        <v>2.78</v>
      </c>
      <c r="AG103" s="100">
        <f>((AW103-AV103)+(AX103-AW103)+(AY103-AX103)+(AZ103-AY103)+(BA103-AZ103)+(BB103-BA103))/6</f>
        <v>-0.25166666666666665</v>
      </c>
      <c r="AH103" s="84"/>
      <c r="AI103" s="100">
        <f>RSQ(AV103:BB103,AV102:BB102)</f>
        <v>0.66459601973973181</v>
      </c>
      <c r="AJ103" s="105">
        <f>SLOPE(AV103:BB103,AV102:BB102)</f>
        <v>-3.9013421155140052E-4</v>
      </c>
      <c r="AK103" s="100">
        <f>INTERCEPT(AV103:BB103,AV102:BB102)</f>
        <v>2.3751758206735367</v>
      </c>
      <c r="AL103" s="100">
        <f>INDEX(LINEST(LN(AV103:BB103),LN(AV102:BB102),TRUE,TRUE),3,1)</f>
        <v>0.96920333636408962</v>
      </c>
      <c r="AM103" s="100">
        <f>INDEX(LINEST(LN(AV103:BB103),LN(AV102:BB102)),1)</f>
        <v>-0.20725283363153152</v>
      </c>
      <c r="AN103" s="100">
        <f>EXP(INDEX(LINEST(LN(AV103:BB103),LN(AV102:BB102)),1,2))</f>
        <v>6.8230700087930396</v>
      </c>
      <c r="AO103" s="104">
        <f>INDEX(LINEST((AV103:BB103),LN(AV102:BB102),TRUE,TRUE),3,1)</f>
        <v>0.96577148825203041</v>
      </c>
      <c r="AP103" s="104">
        <f>INDEX(LINEST((AV103:BB103),LN(AV102:BB102)),1)</f>
        <v>-0.40398440341939534</v>
      </c>
      <c r="AQ103" s="48">
        <f>INDEX(LINEST(LN(AV103:BB103),SQRT(AV102:BB102),TRUE,TRUE),3,1)</f>
        <v>0.90226166984995115</v>
      </c>
      <c r="AR103" s="56">
        <f>INDEX(LINEST(LN(AV103:BB103),SQRT((AV102:BB102))),1)</f>
        <v>-1.5795403162833704E-2</v>
      </c>
      <c r="AS103" s="49">
        <f>INDEX(LINEST(1/(AV103:BB103),1/(SQRT(AV102:BB102)),TRUE,TRUE),3,1)</f>
        <v>0.81317732005505994</v>
      </c>
      <c r="AT103" s="49">
        <f>INDEX(LINEST(1/(AV103:BB103),1/SQRT(AV102:BB102)),1)</f>
        <v>-3.6980304238663213</v>
      </c>
      <c r="AU103" s="63"/>
      <c r="AV103" s="65">
        <v>2.78</v>
      </c>
      <c r="AW103" s="65">
        <v>2.7</v>
      </c>
      <c r="AX103" s="65">
        <v>2.1</v>
      </c>
      <c r="AY103" s="65">
        <v>1.76</v>
      </c>
      <c r="AZ103" s="65">
        <v>1.68</v>
      </c>
      <c r="BA103" s="65">
        <v>1.34</v>
      </c>
      <c r="BB103" s="65">
        <v>1.27</v>
      </c>
      <c r="BC103" s="65"/>
      <c r="BD103" s="65"/>
      <c r="BE103" s="65"/>
      <c r="BF103" s="65"/>
      <c r="BG103" s="65"/>
      <c r="BH103" s="65"/>
      <c r="BI103" s="65"/>
      <c r="BJ103" s="65"/>
      <c r="BK103" s="65"/>
      <c r="BL103" s="61"/>
      <c r="BM103" s="61"/>
      <c r="BN103" s="61"/>
      <c r="BO103" s="61"/>
      <c r="BP103" s="61"/>
      <c r="BQ103" s="61"/>
      <c r="BR103" s="61"/>
      <c r="BS103" s="61"/>
      <c r="BT103" s="61"/>
      <c r="BU103" s="61"/>
      <c r="BV103" s="61"/>
      <c r="BW103" s="61"/>
      <c r="BX103" s="61"/>
      <c r="BY103" s="61"/>
      <c r="BZ103" s="61"/>
      <c r="CA103" s="61"/>
      <c r="CB103" s="61"/>
      <c r="CC103" s="61"/>
      <c r="CD103" s="61"/>
      <c r="CE103" s="61"/>
      <c r="CF103" s="61"/>
      <c r="CG103" s="61"/>
      <c r="CH103" s="61"/>
      <c r="CI103" s="61"/>
      <c r="CJ103" s="61"/>
      <c r="CK103" s="61"/>
      <c r="CL103" s="61"/>
      <c r="CM103" s="61"/>
      <c r="CN103" s="61"/>
      <c r="CO103" s="61"/>
      <c r="CP103" s="61"/>
      <c r="CQ103" s="61"/>
      <c r="CR103" s="59"/>
      <c r="CS103" s="59"/>
      <c r="CT103" s="59"/>
      <c r="CU103" s="59"/>
    </row>
    <row r="104" spans="1:99" s="60" customFormat="1" ht="12" customHeight="1" x14ac:dyDescent="0.2">
      <c r="A104" s="94">
        <v>43509</v>
      </c>
      <c r="B104" s="101"/>
      <c r="C104" s="101"/>
      <c r="D104" s="77"/>
      <c r="E104" s="98"/>
      <c r="F104" s="77"/>
      <c r="G104" s="77"/>
      <c r="H104" s="77"/>
      <c r="I104" s="77"/>
      <c r="J104" s="77"/>
      <c r="K104" s="102"/>
      <c r="L104" s="102"/>
      <c r="M104" s="77"/>
      <c r="N104" s="77"/>
      <c r="O104" s="77"/>
      <c r="P104" s="77"/>
      <c r="Q104" s="77"/>
      <c r="R104" s="77"/>
      <c r="S104" s="77"/>
      <c r="T104" s="96"/>
      <c r="U104" s="32"/>
      <c r="V104" s="77"/>
      <c r="W104" s="77"/>
      <c r="X104" s="77"/>
      <c r="Y104" s="98"/>
      <c r="Z104" s="77"/>
      <c r="AA104" s="77"/>
      <c r="AB104" s="77"/>
      <c r="AC104" s="77"/>
      <c r="AD104" s="77"/>
      <c r="AE104" s="77"/>
      <c r="AF104" s="99"/>
      <c r="AG104" s="100"/>
      <c r="AH104" s="84"/>
      <c r="AI104" s="100"/>
      <c r="AJ104" s="105"/>
      <c r="AK104" s="100"/>
      <c r="AL104" s="100"/>
      <c r="AM104" s="100"/>
      <c r="AN104" s="100"/>
      <c r="AO104" s="100"/>
      <c r="AP104" s="100"/>
      <c r="AQ104" s="100"/>
      <c r="AR104" s="105"/>
      <c r="AS104" s="100"/>
      <c r="AT104" s="100"/>
      <c r="AU104" s="62"/>
      <c r="AV104" s="64">
        <f>60*3</f>
        <v>180</v>
      </c>
      <c r="AW104" s="64">
        <f>60*6</f>
        <v>360</v>
      </c>
      <c r="AX104" s="64">
        <f>60*12</f>
        <v>720</v>
      </c>
      <c r="AY104" s="64">
        <f>60*22</f>
        <v>1320</v>
      </c>
      <c r="AZ104" s="64">
        <f>60*60</f>
        <v>3600</v>
      </c>
      <c r="BA104" s="65"/>
      <c r="BB104" s="65"/>
      <c r="BC104" s="65"/>
      <c r="BD104" s="65"/>
      <c r="BE104" s="65"/>
      <c r="BF104" s="65"/>
      <c r="BG104" s="65"/>
      <c r="BH104" s="65"/>
      <c r="BI104" s="65"/>
      <c r="BJ104" s="65"/>
      <c r="BK104" s="65"/>
      <c r="BL104" s="61"/>
      <c r="BM104" s="61"/>
      <c r="BN104" s="61"/>
      <c r="BO104" s="61"/>
      <c r="BP104" s="61"/>
      <c r="BQ104" s="61"/>
      <c r="BR104" s="61"/>
      <c r="BS104" s="61"/>
      <c r="BT104" s="61"/>
      <c r="BU104" s="61"/>
      <c r="BV104" s="61"/>
      <c r="BW104" s="61"/>
      <c r="BX104" s="61"/>
      <c r="BY104" s="61"/>
      <c r="BZ104" s="61"/>
      <c r="CA104" s="61"/>
      <c r="CB104" s="61"/>
      <c r="CC104" s="61"/>
      <c r="CD104" s="61"/>
      <c r="CE104" s="61"/>
      <c r="CF104" s="61"/>
      <c r="CG104" s="61"/>
      <c r="CH104" s="61"/>
      <c r="CI104" s="61"/>
      <c r="CJ104" s="61"/>
      <c r="CK104" s="61"/>
      <c r="CL104" s="61"/>
      <c r="CM104" s="61"/>
      <c r="CN104" s="61"/>
      <c r="CO104" s="61"/>
      <c r="CP104" s="61"/>
      <c r="CQ104" s="61"/>
      <c r="CR104" s="59"/>
      <c r="CS104" s="59"/>
      <c r="CT104" s="59"/>
      <c r="CU104" s="59"/>
    </row>
    <row r="105" spans="1:99" s="60" customFormat="1" ht="12" customHeight="1" x14ac:dyDescent="0.2">
      <c r="A105" s="94">
        <v>43509</v>
      </c>
      <c r="B105" s="101" t="s">
        <v>203</v>
      </c>
      <c r="C105" s="101" t="s">
        <v>204</v>
      </c>
      <c r="D105" s="77">
        <v>1972</v>
      </c>
      <c r="E105" s="98">
        <v>1</v>
      </c>
      <c r="F105" s="77">
        <v>17</v>
      </c>
      <c r="G105" s="77">
        <v>17</v>
      </c>
      <c r="H105" s="77" t="s">
        <v>25</v>
      </c>
      <c r="I105" s="77" t="s">
        <v>215</v>
      </c>
      <c r="J105" s="77" t="s">
        <v>12</v>
      </c>
      <c r="K105" s="77" t="str">
        <f>IF(J105="syllables","1",IF(J105="trigrams","2",IF(J105="strings","3",IF(J105="visual array","4",IF(J105="characters","5",IF(J105="letters","6",IF(J105="free forms","7",IF(J105="odors","8",IF(J105="words","9",IF(J105="pictures","10",IF(J105="object pictures","11",IF(J105="faces","12",IF(J105="names","13",IF(J105="idioms","14",IF(J105="grades","15",IF(J105="syllable-digit pairs","16",IF(J105="trigram-word pairs","17",IF(J105="word-digit pairs","18",IF(J105="English-Swahili pairs","19",IF(J105="spatial position","20",IF(J105="word pairs","21",IF(J105="word triads","22",IF(J105="generated words","23",IF(J105="word definition pairs","24",IF(J105="math problems","25",IF(J105="famous faces","26",IF(J105="famous names","27",IF(J105="famous voices","28",IF(J105="television programs","29",IF(J105="race horses","30",IF(J105="new vocabulary","31",IF(J105="sentences","32",IF(J105="concepts","33",IF(J105="ad slides","34",IF(J105="scenes","35",IF(J105="famous scenes","36",IF(J105="poems","37",IF(J105="walk","38",IF(J105="faces and events","39",IF(J105="events and names","40",IF(J105="flashbulb","41",IF(J105="stories","42",IF(J105="course material","43",IF(J105="autobiographical","44",IF(J105="novels","45",IF(J105="public events","46",IF(J105="order","90","99")))))))))))))))))))))))))))))))))))))))))))))))</f>
        <v>9</v>
      </c>
      <c r="L105" s="77" t="str">
        <f>IF(J105="syllables","1",IF(J105="trigrams","1",IF(J105="strings","1",IF(J105="visual array","1",IF(J105="characters","1",IF(J105="letters","1",IF(J105="free forms","1",IF(J105="odors","2",IF(J105="words","2",IF(J105="pictures","2",IF(J105="object pictures","2",IF(J105="faces","2",IF(J105="names","2",IF(J105="idioms","2",IF(J105="grades","2",IF(J105="syllable-digit pairs","3",IF(J105="trigram-word pairs","3",IF(J105="word-digit pairs","3",IF(J105="English-Swahili pairs","3",IF(J105="spatial position","3",IF(J105="word pairs","4",IF(J105="word triads","4",IF(J105="generated words","4",IF(J105="word definition pairs","4",IF(J105="math problems","4",IF(J105="famous faces","4",IF(J105="famous names","4",IF(J105="famous voices","4",IF(J105="television programs","4",IF(J105="race horses","4",IF(J105="new vocabulary","4",IF(J105="sentences","5",IF(J105="concepts","5",IF(J105="ad slides","5",IF(J105="scenes","5",IF(J105="famous scenes","5",IF(J105="poems","6",IF(J105="walk","6",IF(J105="faces and events","6",IF(J105="events and names","6",IF(J105="flashbulb","7",IF(J105="stories","7",IF(J105="course material","7",IF(J105="autobiographical","7",IF(J105="novels","7",IF(J105="public events","7",IF(J105="order","90","99")))))))))))))))))))))))))))))))))))))))))))))))</f>
        <v>2</v>
      </c>
      <c r="M105" s="77" t="s">
        <v>213</v>
      </c>
      <c r="N105" s="77">
        <v>3</v>
      </c>
      <c r="O105" s="77" t="s">
        <v>195</v>
      </c>
      <c r="P105" s="77"/>
      <c r="Q105" s="77" t="s">
        <v>18</v>
      </c>
      <c r="R105" s="77" t="str">
        <f>IF(Q105="Free Recall","1",IF(Q105="Cued Recall","2",IF(Q105="Recognition","3",IF(Q105="Multiple Choice","4",IF(Q105="Savings","5",IF(Q105="Stem Completion","6",IF(Q105="Fragment Completion","7",IF(Q105="anagram solution","8",IF(Q105="Matching","9",IF(Q105="Problem Solving","10","99"))))))))))</f>
        <v>3</v>
      </c>
      <c r="S105" s="77" t="s">
        <v>196</v>
      </c>
      <c r="T105" s="96" t="s">
        <v>132</v>
      </c>
      <c r="U105" s="32">
        <f>IF(T105="within",1,0)</f>
        <v>1</v>
      </c>
      <c r="V105" s="96">
        <v>400</v>
      </c>
      <c r="W105" s="77">
        <f>F105*V105</f>
        <v>6800</v>
      </c>
      <c r="X105" s="77">
        <v>5</v>
      </c>
      <c r="Y105" s="98">
        <f>AV104</f>
        <v>180</v>
      </c>
      <c r="Z105" s="77" t="s">
        <v>214</v>
      </c>
      <c r="AA105" s="77">
        <v>3600</v>
      </c>
      <c r="AB105" s="77" t="str">
        <f>IF(AA105&lt;60,"1",IF(AA105&lt;=43200,"2",IF(AA105&lt;=777600,"3","4")))</f>
        <v>2</v>
      </c>
      <c r="AC105" s="100">
        <f>AVERAGE(AV104:DA104)</f>
        <v>1236</v>
      </c>
      <c r="AD105" s="77" t="str">
        <f>IF(AC105&lt;60,"1",IF(AC105&lt;=43200,"2",IF(AC105&lt;=777600,"3","4")))</f>
        <v>2</v>
      </c>
      <c r="AE105" s="98">
        <f>AA105-Y105</f>
        <v>3420</v>
      </c>
      <c r="AF105" s="99">
        <f>AV105</f>
        <v>3.15</v>
      </c>
      <c r="AG105" s="100">
        <f>((AW105-AV105)+(AX105-AW105)+(AY105-AX105)+(AZ105-AY105))/4</f>
        <v>-0.36</v>
      </c>
      <c r="AH105" s="84"/>
      <c r="AI105" s="100">
        <f>RSQ(AV105:AZ105,AV104:AZ104)</f>
        <v>0.77880050537179812</v>
      </c>
      <c r="AJ105" s="105">
        <f>SLOPE(AV105:AZ105,AV104:AZ104)</f>
        <v>-3.4926242717243092E-4</v>
      </c>
      <c r="AK105" s="100">
        <f>INTERCEPT(AV105:AZ105,AV104:AZ104)</f>
        <v>2.8416883599851248</v>
      </c>
      <c r="AL105" s="100">
        <f>INDEX(LINEST(LN(AV105:AZ105),LN(AV104:AZ104),TRUE,TRUE),3,1)</f>
        <v>0.99653752980585375</v>
      </c>
      <c r="AM105" s="100">
        <f>INDEX(LINEST(LN(AV105:AZ105),LN(AV104:AZ104)),1)</f>
        <v>-0.20172665350125502</v>
      </c>
      <c r="AN105" s="100">
        <f>EXP(INDEX(LINEST(LN(AV105:AZ105),LN(AV104:AZ104)),1,2))</f>
        <v>8.9426455831887282</v>
      </c>
      <c r="AO105" s="104">
        <f>INDEX(LINEST((AV105:AZ105),LN(AV104:AZ104),TRUE,TRUE),3,1)</f>
        <v>0.98797690791448167</v>
      </c>
      <c r="AP105" s="104">
        <f>INDEX(LINEST((AV105:AZ105),LN(AV104:AZ104)),1)</f>
        <v>-0.47301334182815136</v>
      </c>
      <c r="AQ105" s="48">
        <f>INDEX(LINEST(LN(AV105:AZ105),SQRT(AV104:AZ104),TRUE,TRUE),3,1)</f>
        <v>0.95131764731326651</v>
      </c>
      <c r="AR105" s="56">
        <f>INDEX(LINEST(LN(AV105:AZ105),SQRT((AV104:AZ104))),1)</f>
        <v>-1.2458579930354381E-2</v>
      </c>
      <c r="AS105" s="49">
        <f>INDEX(LINEST(1/(AV105:AZ105),1/(SQRT(AV104:AZ104)),TRUE,TRUE),3,1)</f>
        <v>0.89368682116037146</v>
      </c>
      <c r="AT105" s="49">
        <f>INDEX(LINEST(1/(AV105:AZ105),1/SQRT(AV104:AZ104)),1)</f>
        <v>-4.3046077685682267</v>
      </c>
      <c r="AU105" s="63"/>
      <c r="AV105" s="65">
        <v>3.15</v>
      </c>
      <c r="AW105" s="65">
        <v>2.68</v>
      </c>
      <c r="AX105" s="65">
        <v>2.42</v>
      </c>
      <c r="AY105" s="65">
        <v>2.09</v>
      </c>
      <c r="AZ105" s="65">
        <v>1.71</v>
      </c>
      <c r="BA105" s="65"/>
      <c r="BB105" s="65"/>
      <c r="BC105" s="65"/>
      <c r="BD105" s="65"/>
      <c r="BE105" s="65"/>
      <c r="BF105" s="65"/>
      <c r="BG105" s="65"/>
      <c r="BH105" s="65"/>
      <c r="BI105" s="65"/>
      <c r="BJ105" s="65"/>
      <c r="BK105" s="65"/>
      <c r="BL105" s="61"/>
      <c r="BM105" s="61"/>
      <c r="BN105" s="61"/>
      <c r="BO105" s="61"/>
      <c r="BP105" s="61"/>
      <c r="BQ105" s="61"/>
      <c r="BR105" s="61"/>
      <c r="BS105" s="61"/>
      <c r="BT105" s="61"/>
      <c r="BU105" s="61"/>
      <c r="BV105" s="61"/>
      <c r="BW105" s="61"/>
      <c r="BX105" s="61"/>
      <c r="BY105" s="61"/>
      <c r="BZ105" s="61"/>
      <c r="CA105" s="61"/>
      <c r="CB105" s="61"/>
      <c r="CC105" s="61"/>
      <c r="CD105" s="61"/>
      <c r="CE105" s="61"/>
      <c r="CF105" s="61"/>
      <c r="CG105" s="61"/>
      <c r="CH105" s="61"/>
      <c r="CI105" s="61"/>
      <c r="CJ105" s="61"/>
      <c r="CK105" s="61"/>
      <c r="CL105" s="61"/>
      <c r="CM105" s="61"/>
      <c r="CN105" s="61"/>
      <c r="CO105" s="61"/>
      <c r="CP105" s="61"/>
      <c r="CQ105" s="61"/>
      <c r="CR105" s="59"/>
      <c r="CS105" s="59"/>
      <c r="CT105" s="59"/>
      <c r="CU105" s="59"/>
    </row>
    <row r="106" spans="1:99" s="60" customFormat="1" ht="12" customHeight="1" x14ac:dyDescent="0.2">
      <c r="A106" s="94">
        <v>43509</v>
      </c>
      <c r="B106" s="101"/>
      <c r="C106" s="101"/>
      <c r="D106" s="77"/>
      <c r="E106" s="98"/>
      <c r="F106" s="77"/>
      <c r="G106" s="77"/>
      <c r="H106" s="77"/>
      <c r="I106" s="77"/>
      <c r="J106" s="77"/>
      <c r="K106" s="102"/>
      <c r="L106" s="102"/>
      <c r="M106" s="77"/>
      <c r="N106" s="77"/>
      <c r="O106" s="77"/>
      <c r="P106" s="77"/>
      <c r="Q106" s="77"/>
      <c r="R106" s="77"/>
      <c r="S106" s="77"/>
      <c r="T106" s="96"/>
      <c r="U106" s="32"/>
      <c r="V106" s="77"/>
      <c r="W106" s="77"/>
      <c r="X106" s="77"/>
      <c r="Y106" s="98"/>
      <c r="Z106" s="77"/>
      <c r="AA106" s="77"/>
      <c r="AB106" s="77"/>
      <c r="AC106" s="77"/>
      <c r="AD106" s="77"/>
      <c r="AE106" s="77"/>
      <c r="AF106" s="99"/>
      <c r="AG106" s="100"/>
      <c r="AH106" s="84"/>
      <c r="AI106" s="100"/>
      <c r="AJ106" s="105"/>
      <c r="AK106" s="100"/>
      <c r="AL106" s="100"/>
      <c r="AM106" s="100"/>
      <c r="AN106" s="100"/>
      <c r="AO106" s="100"/>
      <c r="AP106" s="100"/>
      <c r="AQ106" s="100"/>
      <c r="AR106" s="105"/>
      <c r="AS106" s="100"/>
      <c r="AT106" s="100"/>
      <c r="AU106" s="62"/>
      <c r="AV106" s="64">
        <f>60*4</f>
        <v>240</v>
      </c>
      <c r="AW106" s="64">
        <f>60*8</f>
        <v>480</v>
      </c>
      <c r="AX106" s="64">
        <f>60*12</f>
        <v>720</v>
      </c>
      <c r="AY106" s="64">
        <f>60*24</f>
        <v>1440</v>
      </c>
      <c r="AZ106" s="64">
        <f>60*32</f>
        <v>1920</v>
      </c>
      <c r="BA106" s="64">
        <f>60*64</f>
        <v>3840</v>
      </c>
      <c r="BB106" s="65"/>
      <c r="BC106" s="65"/>
      <c r="BD106" s="65"/>
      <c r="BE106" s="65"/>
      <c r="BF106" s="65"/>
      <c r="BG106" s="65"/>
      <c r="BH106" s="65"/>
      <c r="BI106" s="65"/>
      <c r="BJ106" s="65"/>
      <c r="BK106" s="65"/>
      <c r="BL106" s="61"/>
      <c r="BM106" s="61"/>
      <c r="BN106" s="61"/>
      <c r="BO106" s="61"/>
      <c r="BP106" s="61"/>
      <c r="BQ106" s="61"/>
      <c r="BR106" s="61"/>
      <c r="BS106" s="61"/>
      <c r="BT106" s="61"/>
      <c r="BU106" s="61"/>
      <c r="BV106" s="61"/>
      <c r="BW106" s="61"/>
      <c r="BX106" s="61"/>
      <c r="BY106" s="61"/>
      <c r="BZ106" s="61"/>
      <c r="CA106" s="61"/>
      <c r="CB106" s="61"/>
      <c r="CC106" s="61"/>
      <c r="CD106" s="61"/>
      <c r="CE106" s="61"/>
      <c r="CF106" s="61"/>
      <c r="CG106" s="61"/>
      <c r="CH106" s="61"/>
      <c r="CI106" s="61"/>
      <c r="CJ106" s="61"/>
      <c r="CK106" s="61"/>
      <c r="CL106" s="61"/>
      <c r="CM106" s="61"/>
      <c r="CN106" s="61"/>
      <c r="CO106" s="61"/>
      <c r="CP106" s="61"/>
      <c r="CQ106" s="61"/>
      <c r="CR106" s="59"/>
      <c r="CS106" s="59"/>
      <c r="CT106" s="59"/>
      <c r="CU106" s="59"/>
    </row>
    <row r="107" spans="1:99" s="60" customFormat="1" ht="12" customHeight="1" x14ac:dyDescent="0.2">
      <c r="A107" s="94">
        <v>43509</v>
      </c>
      <c r="B107" s="101" t="s">
        <v>203</v>
      </c>
      <c r="C107" s="101" t="s">
        <v>204</v>
      </c>
      <c r="D107" s="77">
        <v>1972</v>
      </c>
      <c r="E107" s="98">
        <v>1</v>
      </c>
      <c r="F107" s="77">
        <v>17</v>
      </c>
      <c r="G107" s="77">
        <v>17</v>
      </c>
      <c r="H107" s="77" t="s">
        <v>25</v>
      </c>
      <c r="I107" s="77" t="s">
        <v>216</v>
      </c>
      <c r="J107" s="77" t="s">
        <v>12</v>
      </c>
      <c r="K107" s="77" t="str">
        <f>IF(J107="syllables","1",IF(J107="trigrams","2",IF(J107="strings","3",IF(J107="visual array","4",IF(J107="characters","5",IF(J107="letters","6",IF(J107="free forms","7",IF(J107="odors","8",IF(J107="words","9",IF(J107="pictures","10",IF(J107="object pictures","11",IF(J107="faces","12",IF(J107="names","13",IF(J107="idioms","14",IF(J107="grades","15",IF(J107="syllable-digit pairs","16",IF(J107="trigram-word pairs","17",IF(J107="word-digit pairs","18",IF(J107="English-Swahili pairs","19",IF(J107="spatial position","20",IF(J107="word pairs","21",IF(J107="word triads","22",IF(J107="generated words","23",IF(J107="word definition pairs","24",IF(J107="math problems","25",IF(J107="famous faces","26",IF(J107="famous names","27",IF(J107="famous voices","28",IF(J107="television programs","29",IF(J107="race horses","30",IF(J107="new vocabulary","31",IF(J107="sentences","32",IF(J107="concepts","33",IF(J107="ad slides","34",IF(J107="scenes","35",IF(J107="famous scenes","36",IF(J107="poems","37",IF(J107="walk","38",IF(J107="faces and events","39",IF(J107="events and names","40",IF(J107="flashbulb","41",IF(J107="stories","42",IF(J107="course material","43",IF(J107="autobiographical","44",IF(J107="novels","45",IF(J107="public events","46",IF(J107="order","90","99")))))))))))))))))))))))))))))))))))))))))))))))</f>
        <v>9</v>
      </c>
      <c r="L107" s="77" t="str">
        <f>IF(J107="syllables","1",IF(J107="trigrams","1",IF(J107="strings","1",IF(J107="visual array","1",IF(J107="characters","1",IF(J107="letters","1",IF(J107="free forms","1",IF(J107="odors","2",IF(J107="words","2",IF(J107="pictures","2",IF(J107="object pictures","2",IF(J107="faces","2",IF(J107="names","2",IF(J107="idioms","2",IF(J107="grades","2",IF(J107="syllable-digit pairs","3",IF(J107="trigram-word pairs","3",IF(J107="word-digit pairs","3",IF(J107="English-Swahili pairs","3",IF(J107="spatial position","3",IF(J107="word pairs","4",IF(J107="word triads","4",IF(J107="generated words","4",IF(J107="word definition pairs","4",IF(J107="math problems","4",IF(J107="famous faces","4",IF(J107="famous names","4",IF(J107="famous voices","4",IF(J107="television programs","4",IF(J107="race horses","4",IF(J107="new vocabulary","4",IF(J107="sentences","5",IF(J107="concepts","5",IF(J107="ad slides","5",IF(J107="scenes","5",IF(J107="famous scenes","5",IF(J107="poems","6",IF(J107="walk","6",IF(J107="faces and events","6",IF(J107="events and names","6",IF(J107="flashbulb","7",IF(J107="stories","7",IF(J107="course material","7",IF(J107="autobiographical","7",IF(J107="novels","7",IF(J107="public events","7",IF(J107="order","90","99")))))))))))))))))))))))))))))))))))))))))))))))</f>
        <v>2</v>
      </c>
      <c r="M107" s="77" t="s">
        <v>213</v>
      </c>
      <c r="N107" s="77">
        <v>3</v>
      </c>
      <c r="O107" s="77" t="s">
        <v>195</v>
      </c>
      <c r="P107" s="77"/>
      <c r="Q107" s="77" t="s">
        <v>18</v>
      </c>
      <c r="R107" s="77" t="str">
        <f>IF(Q107="Free Recall","1",IF(Q107="Cued Recall","2",IF(Q107="Recognition","3",IF(Q107="Multiple Choice","4",IF(Q107="Savings","5",IF(Q107="Stem Completion","6",IF(Q107="Fragment Completion","7",IF(Q107="anagram solution","8",IF(Q107="Matching","9",IF(Q107="Problem Solving","10","99"))))))))))</f>
        <v>3</v>
      </c>
      <c r="S107" s="77" t="s">
        <v>196</v>
      </c>
      <c r="T107" s="96" t="s">
        <v>132</v>
      </c>
      <c r="U107" s="32">
        <f>IF(T107="within",1,0)</f>
        <v>1</v>
      </c>
      <c r="V107" s="96">
        <v>400</v>
      </c>
      <c r="W107" s="77">
        <f>F107*V107</f>
        <v>6800</v>
      </c>
      <c r="X107" s="77">
        <v>6</v>
      </c>
      <c r="Y107" s="98">
        <f>AV106</f>
        <v>240</v>
      </c>
      <c r="Z107" s="77" t="s">
        <v>217</v>
      </c>
      <c r="AA107" s="77">
        <v>3840</v>
      </c>
      <c r="AB107" s="77" t="str">
        <f>IF(AA107&lt;60,"1",IF(AA107&lt;=43200,"2",IF(AA107&lt;=777600,"3","4")))</f>
        <v>2</v>
      </c>
      <c r="AC107" s="100">
        <f>AVERAGE(AV106:DA106)</f>
        <v>1440</v>
      </c>
      <c r="AD107" s="77" t="str">
        <f>IF(AC107&lt;60,"1",IF(AC107&lt;=43200,"2",IF(AC107&lt;=777600,"3","4")))</f>
        <v>2</v>
      </c>
      <c r="AE107" s="98">
        <f>AA107-Y107</f>
        <v>3600</v>
      </c>
      <c r="AF107" s="99">
        <f>AV107</f>
        <v>2.96</v>
      </c>
      <c r="AG107" s="100">
        <f>((AW107-AV107)+(AX107-AW107)+(AY107-AX107)+(AZ107-AY107)+(BA107-AZ107))/5</f>
        <v>-0.21799999999999997</v>
      </c>
      <c r="AH107" s="84"/>
      <c r="AI107" s="100">
        <f>RSQ(AV107:BA107,AV106:BA106)</f>
        <v>0.85520310794002941</v>
      </c>
      <c r="AJ107" s="105">
        <f>SLOPE(AV107:BA107,AV106:BA106)</f>
        <v>-2.7732683982683985E-4</v>
      </c>
      <c r="AK107" s="100">
        <f>INTERCEPT(AV107:BA107,AV106:BA106)</f>
        <v>2.8460173160173161</v>
      </c>
      <c r="AL107" s="100">
        <f>INDEX(LINEST(LN(AV107:BA107),LN(AV106:BA106),TRUE,TRUE),3,1)</f>
        <v>0.9404006355561787</v>
      </c>
      <c r="AM107" s="100">
        <f>INDEX(LINEST(LN(AV107:BA107),LN(AV106:BA106)),1)</f>
        <v>-0.16185490444053308</v>
      </c>
      <c r="AN107" s="100">
        <f>EXP(INDEX(LINEST(LN(AV107:BA107),LN(AV106:BA106)),1,2))</f>
        <v>7.3731798039648142</v>
      </c>
      <c r="AO107" s="104">
        <f>INDEX(LINEST((AV107:BA107),LN(AV106:BA106),TRUE,TRUE),3,1)</f>
        <v>0.95617088917038306</v>
      </c>
      <c r="AP107" s="104">
        <f>INDEX(LINEST((AV107:BA107),LN(AV106:BA106)),1)</f>
        <v>-0.38866690388598052</v>
      </c>
      <c r="AQ107" s="48">
        <f>INDEX(LINEST(LN(AV107:BA107),SQRT(AV106:BA106),TRUE,TRUE),3,1)</f>
        <v>0.94697652862615966</v>
      </c>
      <c r="AR107" s="56">
        <f>INDEX(LINEST(LN(AV107:BA107),SQRT((AV106:BA106))),1)</f>
        <v>-9.6458165309292639E-3</v>
      </c>
      <c r="AS107" s="49">
        <f>INDEX(LINEST(1/(AV107:BA107),1/(SQRT(AV106:BA106)),TRUE,TRUE),3,1)</f>
        <v>0.81290932429219231</v>
      </c>
      <c r="AT107" s="49">
        <f>INDEX(LINEST(1/(AV107:BA107),1/SQRT(AV106:BA106)),1)</f>
        <v>-3.6559919438063879</v>
      </c>
      <c r="AU107" s="63"/>
      <c r="AV107" s="65">
        <v>2.96</v>
      </c>
      <c r="AW107" s="65">
        <v>2.77</v>
      </c>
      <c r="AX107" s="65">
        <v>2.57</v>
      </c>
      <c r="AY107" s="65">
        <v>2.19</v>
      </c>
      <c r="AZ107" s="65">
        <v>2.3199999999999998</v>
      </c>
      <c r="BA107" s="65">
        <v>1.87</v>
      </c>
      <c r="BB107" s="65"/>
      <c r="BC107" s="65"/>
      <c r="BD107" s="65"/>
      <c r="BE107" s="65"/>
      <c r="BF107" s="65"/>
      <c r="BG107" s="65"/>
      <c r="BH107" s="65"/>
      <c r="BI107" s="65"/>
      <c r="BJ107" s="65"/>
      <c r="BK107" s="65"/>
      <c r="BL107" s="61"/>
      <c r="BM107" s="61"/>
      <c r="BN107" s="61"/>
      <c r="BO107" s="61"/>
      <c r="BP107" s="61"/>
      <c r="BQ107" s="61"/>
      <c r="BR107" s="61"/>
      <c r="BS107" s="61"/>
      <c r="BT107" s="61"/>
      <c r="BU107" s="61"/>
      <c r="BV107" s="61"/>
      <c r="BW107" s="61"/>
      <c r="BX107" s="61"/>
      <c r="BY107" s="61"/>
      <c r="BZ107" s="61"/>
      <c r="CA107" s="61"/>
      <c r="CB107" s="61"/>
      <c r="CC107" s="61"/>
      <c r="CD107" s="61"/>
      <c r="CE107" s="61"/>
      <c r="CF107" s="61"/>
      <c r="CG107" s="61"/>
      <c r="CH107" s="61"/>
      <c r="CI107" s="61"/>
      <c r="CJ107" s="61"/>
      <c r="CK107" s="61"/>
      <c r="CL107" s="61"/>
      <c r="CM107" s="61"/>
      <c r="CN107" s="61"/>
      <c r="CO107" s="61"/>
      <c r="CP107" s="61"/>
      <c r="CQ107" s="61"/>
      <c r="CR107" s="59"/>
      <c r="CS107" s="59"/>
      <c r="CT107" s="59"/>
      <c r="CU107" s="59"/>
    </row>
    <row r="108" spans="1:99" s="60" customFormat="1" ht="12" customHeight="1" x14ac:dyDescent="0.2">
      <c r="A108" s="94">
        <v>43509</v>
      </c>
      <c r="B108" s="101"/>
      <c r="C108" s="101"/>
      <c r="D108" s="77"/>
      <c r="E108" s="98"/>
      <c r="F108" s="77"/>
      <c r="G108" s="77"/>
      <c r="H108" s="77"/>
      <c r="I108" s="77"/>
      <c r="J108" s="77"/>
      <c r="K108" s="102"/>
      <c r="L108" s="102"/>
      <c r="M108" s="77"/>
      <c r="N108" s="77"/>
      <c r="O108" s="77"/>
      <c r="P108" s="77"/>
      <c r="Q108" s="77"/>
      <c r="R108" s="77"/>
      <c r="S108" s="77"/>
      <c r="T108" s="96"/>
      <c r="U108" s="32"/>
      <c r="V108" s="77"/>
      <c r="W108" s="77"/>
      <c r="X108" s="77"/>
      <c r="Y108" s="98"/>
      <c r="Z108" s="77"/>
      <c r="AA108" s="77"/>
      <c r="AB108" s="77"/>
      <c r="AC108" s="77"/>
      <c r="AD108" s="77"/>
      <c r="AE108" s="77"/>
      <c r="AF108" s="99"/>
      <c r="AG108" s="100"/>
      <c r="AH108" s="84"/>
      <c r="AI108" s="100"/>
      <c r="AJ108" s="105"/>
      <c r="AK108" s="100"/>
      <c r="AL108" s="100"/>
      <c r="AM108" s="100"/>
      <c r="AN108" s="100"/>
      <c r="AO108" s="100"/>
      <c r="AP108" s="100"/>
      <c r="AQ108" s="100"/>
      <c r="AR108" s="105"/>
      <c r="AS108" s="100"/>
      <c r="AT108" s="100"/>
      <c r="AU108" s="62"/>
      <c r="AV108" s="64">
        <f>60*12</f>
        <v>720</v>
      </c>
      <c r="AW108" s="64">
        <f>60*15</f>
        <v>900</v>
      </c>
      <c r="AX108" s="64">
        <f>60*20</f>
        <v>1200</v>
      </c>
      <c r="AY108" s="64">
        <f>60*30</f>
        <v>1800</v>
      </c>
      <c r="AZ108" s="64">
        <f>60*80</f>
        <v>4800</v>
      </c>
      <c r="BA108" s="65"/>
      <c r="BB108" s="65"/>
      <c r="BC108" s="65"/>
      <c r="BD108" s="65"/>
      <c r="BE108" s="65"/>
      <c r="BF108" s="65"/>
      <c r="BG108" s="65"/>
      <c r="BH108" s="65"/>
      <c r="BI108" s="65"/>
      <c r="BJ108" s="65"/>
      <c r="BK108" s="65"/>
      <c r="BL108" s="61"/>
      <c r="BM108" s="61"/>
      <c r="BN108" s="61"/>
      <c r="BO108" s="61"/>
      <c r="BP108" s="61"/>
      <c r="BQ108" s="61"/>
      <c r="BR108" s="61"/>
      <c r="BS108" s="61"/>
      <c r="BT108" s="61"/>
      <c r="BU108" s="61"/>
      <c r="BV108" s="61"/>
      <c r="BW108" s="61"/>
      <c r="BX108" s="61"/>
      <c r="BY108" s="61"/>
      <c r="BZ108" s="61"/>
      <c r="CA108" s="61"/>
      <c r="CB108" s="61"/>
      <c r="CC108" s="61"/>
      <c r="CD108" s="61"/>
      <c r="CE108" s="61"/>
      <c r="CF108" s="61"/>
      <c r="CG108" s="61"/>
      <c r="CH108" s="61"/>
      <c r="CI108" s="61"/>
      <c r="CJ108" s="61"/>
      <c r="CK108" s="61"/>
      <c r="CL108" s="61"/>
      <c r="CM108" s="61"/>
      <c r="CN108" s="61"/>
      <c r="CO108" s="61"/>
      <c r="CP108" s="61"/>
      <c r="CQ108" s="61"/>
      <c r="CR108" s="59"/>
      <c r="CS108" s="59"/>
      <c r="CT108" s="59"/>
      <c r="CU108" s="59"/>
    </row>
    <row r="109" spans="1:99" s="60" customFormat="1" ht="12" customHeight="1" x14ac:dyDescent="0.2">
      <c r="A109" s="94">
        <v>43509</v>
      </c>
      <c r="B109" s="101" t="s">
        <v>203</v>
      </c>
      <c r="C109" s="101" t="s">
        <v>204</v>
      </c>
      <c r="D109" s="77">
        <v>1972</v>
      </c>
      <c r="E109" s="98">
        <v>1</v>
      </c>
      <c r="F109" s="77">
        <v>17</v>
      </c>
      <c r="G109" s="77">
        <v>17</v>
      </c>
      <c r="H109" s="77" t="s">
        <v>25</v>
      </c>
      <c r="I109" s="77" t="s">
        <v>218</v>
      </c>
      <c r="J109" s="77" t="s">
        <v>12</v>
      </c>
      <c r="K109" s="77" t="str">
        <f>IF(J109="syllables","1",IF(J109="trigrams","2",IF(J109="strings","3",IF(J109="visual array","4",IF(J109="characters","5",IF(J109="letters","6",IF(J109="free forms","7",IF(J109="odors","8",IF(J109="words","9",IF(J109="pictures","10",IF(J109="object pictures","11",IF(J109="faces","12",IF(J109="names","13",IF(J109="idioms","14",IF(J109="grades","15",IF(J109="syllable-digit pairs","16",IF(J109="trigram-word pairs","17",IF(J109="word-digit pairs","18",IF(J109="English-Swahili pairs","19",IF(J109="spatial position","20",IF(J109="word pairs","21",IF(J109="word triads","22",IF(J109="generated words","23",IF(J109="word definition pairs","24",IF(J109="math problems","25",IF(J109="famous faces","26",IF(J109="famous names","27",IF(J109="famous voices","28",IF(J109="television programs","29",IF(J109="race horses","30",IF(J109="new vocabulary","31",IF(J109="sentences","32",IF(J109="concepts","33",IF(J109="ad slides","34",IF(J109="scenes","35",IF(J109="famous scenes","36",IF(J109="poems","37",IF(J109="walk","38",IF(J109="faces and events","39",IF(J109="events and names","40",IF(J109="flashbulb","41",IF(J109="stories","42",IF(J109="course material","43",IF(J109="autobiographical","44",IF(J109="novels","45",IF(J109="public events","46",IF(J109="order","90","99")))))))))))))))))))))))))))))))))))))))))))))))</f>
        <v>9</v>
      </c>
      <c r="L109" s="77" t="str">
        <f>IF(J109="syllables","1",IF(J109="trigrams","1",IF(J109="strings","1",IF(J109="visual array","1",IF(J109="characters","1",IF(J109="letters","1",IF(J109="free forms","1",IF(J109="odors","2",IF(J109="words","2",IF(J109="pictures","2",IF(J109="object pictures","2",IF(J109="faces","2",IF(J109="names","2",IF(J109="idioms","2",IF(J109="grades","2",IF(J109="syllable-digit pairs","3",IF(J109="trigram-word pairs","3",IF(J109="word-digit pairs","3",IF(J109="English-Swahili pairs","3",IF(J109="spatial position","3",IF(J109="word pairs","4",IF(J109="word triads","4",IF(J109="generated words","4",IF(J109="word definition pairs","4",IF(J109="math problems","4",IF(J109="famous faces","4",IF(J109="famous names","4",IF(J109="famous voices","4",IF(J109="television programs","4",IF(J109="race horses","4",IF(J109="new vocabulary","4",IF(J109="sentences","5",IF(J109="concepts","5",IF(J109="ad slides","5",IF(J109="scenes","5",IF(J109="famous scenes","5",IF(J109="poems","6",IF(J109="walk","6",IF(J109="faces and events","6",IF(J109="events and names","6",IF(J109="flashbulb","7",IF(J109="stories","7",IF(J109="course material","7",IF(J109="autobiographical","7",IF(J109="novels","7",IF(J109="public events","7",IF(J109="order","90","99")))))))))))))))))))))))))))))))))))))))))))))))</f>
        <v>2</v>
      </c>
      <c r="M109" s="77" t="s">
        <v>213</v>
      </c>
      <c r="N109" s="77">
        <v>3</v>
      </c>
      <c r="O109" s="77" t="s">
        <v>195</v>
      </c>
      <c r="P109" s="77"/>
      <c r="Q109" s="77" t="s">
        <v>18</v>
      </c>
      <c r="R109" s="77" t="str">
        <f>IF(Q109="Free Recall","1",IF(Q109="Cued Recall","2",IF(Q109="Recognition","3",IF(Q109="Multiple Choice","4",IF(Q109="Savings","5",IF(Q109="Stem Completion","6",IF(Q109="Fragment Completion","7",IF(Q109="anagram solution","8",IF(Q109="Matching","9",IF(Q109="Problem Solving","10","99"))))))))))</f>
        <v>3</v>
      </c>
      <c r="S109" s="77" t="s">
        <v>196</v>
      </c>
      <c r="T109" s="96" t="s">
        <v>132</v>
      </c>
      <c r="U109" s="32">
        <f>IF(T109="within",1,0)</f>
        <v>1</v>
      </c>
      <c r="V109" s="96">
        <v>400</v>
      </c>
      <c r="W109" s="77">
        <f>F109*V109</f>
        <v>6800</v>
      </c>
      <c r="X109" s="77">
        <v>5</v>
      </c>
      <c r="Y109" s="98">
        <f>AV108</f>
        <v>720</v>
      </c>
      <c r="Z109" s="77" t="s">
        <v>219</v>
      </c>
      <c r="AA109" s="77">
        <v>4800</v>
      </c>
      <c r="AB109" s="77" t="str">
        <f>IF(AA109&lt;60,"1",IF(AA109&lt;=43200,"2",IF(AA109&lt;=777600,"3","4")))</f>
        <v>2</v>
      </c>
      <c r="AC109" s="100">
        <f>AVERAGE(AV108:DA108)</f>
        <v>1884</v>
      </c>
      <c r="AD109" s="77" t="str">
        <f>IF(AC109&lt;60,"1",IF(AC109&lt;=43200,"2",IF(AC109&lt;=777600,"3","4")))</f>
        <v>2</v>
      </c>
      <c r="AE109" s="98">
        <f>AA109-Y109</f>
        <v>4080</v>
      </c>
      <c r="AF109" s="99">
        <f>AV109</f>
        <v>3.13</v>
      </c>
      <c r="AG109" s="100">
        <f>((AW109-AV109)+(AX109-AW109)+(AY109-AX109)+(AZ109-AY109))/4</f>
        <v>-0.26249999999999996</v>
      </c>
      <c r="AH109" s="84"/>
      <c r="AI109" s="100">
        <f>RSQ(AV109:AZ109,AV108:AZ108)</f>
        <v>0.72810910691750519</v>
      </c>
      <c r="AJ109" s="105">
        <f>SLOPE(AV109:AZ109,AV108:AZ108)</f>
        <v>-1.9131201155283721E-4</v>
      </c>
      <c r="AK109" s="100">
        <f>INTERCEPT(AV109:AZ109,AV108:AZ108)</f>
        <v>2.9524318297655454</v>
      </c>
      <c r="AL109" s="100">
        <f>INDEX(LINEST(LN(AV109:AZ109),LN(AV108:AZ108),TRUE,TRUE),3,1)</f>
        <v>0.86989771756394552</v>
      </c>
      <c r="AM109" s="100">
        <f>INDEX(LINEST(LN(AV109:AZ109),LN(AV108:AZ108)),1)</f>
        <v>-0.18318574855923095</v>
      </c>
      <c r="AN109" s="100">
        <f>EXP(INDEX(LINEST(LN(AV109:AZ109),LN(AV108:AZ108)),1,2))</f>
        <v>9.7676405537681426</v>
      </c>
      <c r="AO109" s="104">
        <f>INDEX(LINEST((AV109:AZ109),LN(AV108:AZ108),TRUE,TRUE),3,1)</f>
        <v>0.8290014956649312</v>
      </c>
      <c r="AP109" s="104">
        <f>INDEX(LINEST((AV109:AZ109),LN(AV108:AZ108)),1)</f>
        <v>-0.45927855767246911</v>
      </c>
      <c r="AQ109" s="48">
        <f>INDEX(LINEST(LN(AV109:AZ109),SQRT(AV108:AZ108),TRUE,TRUE),3,1)</f>
        <v>0.83532786700279238</v>
      </c>
      <c r="AR109" s="56">
        <f>INDEX(LINEST(LN(AV109:AZ109),SQRT((AV108:AZ108))),1)</f>
        <v>-7.8637391074356591E-3</v>
      </c>
      <c r="AS109" s="49">
        <f>INDEX(LINEST(1/(AV109:AZ109),1/(SQRT(AV108:AZ108)),TRUE,TRUE),3,1)</f>
        <v>0.89559967248357875</v>
      </c>
      <c r="AT109" s="49">
        <f>INDEX(LINEST(1/(AV109:AZ109),1/SQRT(AV108:AZ108)),1)</f>
        <v>-6.1868795245354873</v>
      </c>
      <c r="AU109" s="63"/>
      <c r="AV109" s="65">
        <v>3.13</v>
      </c>
      <c r="AW109" s="65">
        <v>2.59</v>
      </c>
      <c r="AX109" s="65">
        <v>2.67</v>
      </c>
      <c r="AY109" s="65">
        <v>2.4900000000000002</v>
      </c>
      <c r="AZ109" s="65">
        <v>2.08</v>
      </c>
      <c r="BA109" s="65"/>
      <c r="BB109" s="65"/>
      <c r="BC109" s="65"/>
      <c r="BD109" s="65"/>
      <c r="BE109" s="65"/>
      <c r="BF109" s="65"/>
      <c r="BG109" s="65"/>
      <c r="BH109" s="65"/>
      <c r="BI109" s="65"/>
      <c r="BJ109" s="65"/>
      <c r="BK109" s="65"/>
      <c r="BL109" s="61"/>
      <c r="BM109" s="61"/>
      <c r="BN109" s="61"/>
      <c r="BO109" s="61"/>
      <c r="BP109" s="61"/>
      <c r="BQ109" s="61"/>
      <c r="BR109" s="61"/>
      <c r="BS109" s="61"/>
      <c r="BT109" s="61"/>
      <c r="BU109" s="61"/>
      <c r="BV109" s="61"/>
      <c r="BW109" s="61"/>
      <c r="BX109" s="61"/>
      <c r="BY109" s="61"/>
      <c r="BZ109" s="61"/>
      <c r="CA109" s="61"/>
      <c r="CB109" s="61"/>
      <c r="CC109" s="61"/>
      <c r="CD109" s="61"/>
      <c r="CE109" s="61"/>
      <c r="CF109" s="61"/>
      <c r="CG109" s="61"/>
      <c r="CH109" s="61"/>
      <c r="CI109" s="61"/>
      <c r="CJ109" s="61"/>
      <c r="CK109" s="61"/>
      <c r="CL109" s="61"/>
      <c r="CM109" s="61"/>
      <c r="CN109" s="61"/>
      <c r="CO109" s="61"/>
      <c r="CP109" s="61"/>
      <c r="CQ109" s="61"/>
      <c r="CR109" s="59"/>
      <c r="CS109" s="59"/>
      <c r="CT109" s="59"/>
      <c r="CU109" s="59"/>
    </row>
    <row r="110" spans="1:99" s="60" customFormat="1" ht="12" customHeight="1" x14ac:dyDescent="0.2">
      <c r="A110" s="94">
        <v>43509</v>
      </c>
      <c r="B110" s="101"/>
      <c r="C110" s="101"/>
      <c r="D110" s="77"/>
      <c r="E110" s="98"/>
      <c r="F110" s="77"/>
      <c r="G110" s="77"/>
      <c r="H110" s="77"/>
      <c r="I110" s="77"/>
      <c r="J110" s="77"/>
      <c r="K110" s="102"/>
      <c r="L110" s="102"/>
      <c r="M110" s="77"/>
      <c r="N110" s="77"/>
      <c r="O110" s="77"/>
      <c r="P110" s="77"/>
      <c r="Q110" s="77"/>
      <c r="R110" s="77"/>
      <c r="S110" s="77"/>
      <c r="T110" s="96"/>
      <c r="U110" s="32"/>
      <c r="V110" s="77"/>
      <c r="W110" s="77"/>
      <c r="X110" s="77"/>
      <c r="Y110" s="98"/>
      <c r="Z110" s="77"/>
      <c r="AA110" s="77"/>
      <c r="AB110" s="77"/>
      <c r="AC110" s="77"/>
      <c r="AD110" s="77"/>
      <c r="AE110" s="77"/>
      <c r="AF110" s="99"/>
      <c r="AG110" s="100"/>
      <c r="AH110" s="84"/>
      <c r="AI110" s="100"/>
      <c r="AJ110" s="105"/>
      <c r="AK110" s="100"/>
      <c r="AL110" s="100"/>
      <c r="AM110" s="100"/>
      <c r="AN110" s="100"/>
      <c r="AO110" s="100"/>
      <c r="AP110" s="100"/>
      <c r="AQ110" s="100"/>
      <c r="AR110" s="105"/>
      <c r="AS110" s="100"/>
      <c r="AT110" s="100"/>
      <c r="AU110" s="62"/>
      <c r="AV110" s="64">
        <f>3600*0.08</f>
        <v>288</v>
      </c>
      <c r="AW110" s="64">
        <f>3600*0.17</f>
        <v>612</v>
      </c>
      <c r="AX110" s="64">
        <f>3600*0.25</f>
        <v>900</v>
      </c>
      <c r="AY110" s="64">
        <f>3600*0.33</f>
        <v>1188</v>
      </c>
      <c r="AZ110" s="64">
        <f>3600*0.5</f>
        <v>1800</v>
      </c>
      <c r="BA110" s="64">
        <f>3600*1</f>
        <v>3600</v>
      </c>
      <c r="BB110" s="64">
        <f>3600*2</f>
        <v>7200</v>
      </c>
      <c r="BC110" s="64">
        <f>3600*3</f>
        <v>10800</v>
      </c>
      <c r="BD110" s="64">
        <f>3600*4</f>
        <v>14400</v>
      </c>
      <c r="BE110" s="64">
        <f>3600*5</f>
        <v>18000</v>
      </c>
      <c r="BF110" s="64">
        <f>3600*6</f>
        <v>21600</v>
      </c>
      <c r="BG110" s="64">
        <f>3600*7</f>
        <v>25200</v>
      </c>
      <c r="BH110" s="65"/>
      <c r="BI110" s="65"/>
      <c r="BJ110" s="65"/>
      <c r="BK110" s="65"/>
      <c r="BL110" s="61"/>
      <c r="BM110" s="61"/>
      <c r="BN110" s="61"/>
      <c r="BO110" s="61"/>
      <c r="BP110" s="61"/>
      <c r="BQ110" s="61"/>
      <c r="BR110" s="61"/>
      <c r="BS110" s="61"/>
      <c r="BT110" s="61"/>
      <c r="BU110" s="61"/>
      <c r="BV110" s="61"/>
      <c r="BW110" s="61"/>
      <c r="BX110" s="61"/>
      <c r="BY110" s="61"/>
      <c r="BZ110" s="61"/>
      <c r="CA110" s="61"/>
      <c r="CB110" s="61"/>
      <c r="CC110" s="61"/>
      <c r="CD110" s="61"/>
      <c r="CE110" s="61"/>
      <c r="CF110" s="61"/>
      <c r="CG110" s="61"/>
      <c r="CH110" s="61"/>
      <c r="CI110" s="61"/>
      <c r="CJ110" s="61"/>
      <c r="CK110" s="61"/>
      <c r="CL110" s="61"/>
      <c r="CM110" s="61"/>
      <c r="CN110" s="61"/>
      <c r="CO110" s="61"/>
      <c r="CP110" s="61"/>
      <c r="CQ110" s="61"/>
      <c r="CR110" s="59"/>
      <c r="CS110" s="59"/>
      <c r="CT110" s="59"/>
      <c r="CU110" s="59"/>
    </row>
    <row r="111" spans="1:99" s="60" customFormat="1" ht="12" customHeight="1" x14ac:dyDescent="0.2">
      <c r="A111" s="94">
        <v>43509</v>
      </c>
      <c r="B111" s="101" t="s">
        <v>203</v>
      </c>
      <c r="C111" s="101" t="s">
        <v>204</v>
      </c>
      <c r="D111" s="77">
        <v>1972</v>
      </c>
      <c r="E111" s="98">
        <v>1</v>
      </c>
      <c r="F111" s="77">
        <v>6</v>
      </c>
      <c r="G111" s="77">
        <v>6</v>
      </c>
      <c r="H111" s="77" t="s">
        <v>13</v>
      </c>
      <c r="I111" s="77" t="s">
        <v>220</v>
      </c>
      <c r="J111" s="77" t="s">
        <v>12</v>
      </c>
      <c r="K111" s="77" t="str">
        <f>IF(J111="syllables","1",IF(J111="trigrams","2",IF(J111="strings","3",IF(J111="visual array","4",IF(J111="characters","5",IF(J111="letters","6",IF(J111="free forms","7",IF(J111="odors","8",IF(J111="words","9",IF(J111="pictures","10",IF(J111="object pictures","11",IF(J111="faces","12",IF(J111="names","13",IF(J111="idioms","14",IF(J111="grades","15",IF(J111="syllable-digit pairs","16",IF(J111="trigram-word pairs","17",IF(J111="word-digit pairs","18",IF(J111="English-Swahili pairs","19",IF(J111="spatial position","20",IF(J111="word pairs","21",IF(J111="word triads","22",IF(J111="generated words","23",IF(J111="word definition pairs","24",IF(J111="math problems","25",IF(J111="famous faces","26",IF(J111="famous names","27",IF(J111="famous voices","28",IF(J111="television programs","29",IF(J111="race horses","30",IF(J111="new vocabulary","31",IF(J111="sentences","32",IF(J111="concepts","33",IF(J111="ad slides","34",IF(J111="scenes","35",IF(J111="famous scenes","36",IF(J111="poems","37",IF(J111="walk","38",IF(J111="faces and events","39",IF(J111="events and names","40",IF(J111="flashbulb","41",IF(J111="stories","42",IF(J111="course material","43",IF(J111="autobiographical","44",IF(J111="novels","45",IF(J111="public events","46",IF(J111="order","90","99")))))))))))))))))))))))))))))))))))))))))))))))</f>
        <v>9</v>
      </c>
      <c r="L111" s="77" t="str">
        <f>IF(J111="syllables","1",IF(J111="trigrams","1",IF(J111="strings","1",IF(J111="visual array","1",IF(J111="characters","1",IF(J111="letters","1",IF(J111="free forms","1",IF(J111="odors","2",IF(J111="words","2",IF(J111="pictures","2",IF(J111="object pictures","2",IF(J111="faces","2",IF(J111="names","2",IF(J111="idioms","2",IF(J111="grades","2",IF(J111="syllable-digit pairs","3",IF(J111="trigram-word pairs","3",IF(J111="word-digit pairs","3",IF(J111="English-Swahili pairs","3",IF(J111="spatial position","3",IF(J111="word pairs","4",IF(J111="word triads","4",IF(J111="generated words","4",IF(J111="word definition pairs","4",IF(J111="math problems","4",IF(J111="famous faces","4",IF(J111="famous names","4",IF(J111="famous voices","4",IF(J111="television programs","4",IF(J111="race horses","4",IF(J111="new vocabulary","4",IF(J111="sentences","5",IF(J111="concepts","5",IF(J111="ad slides","5",IF(J111="scenes","5",IF(J111="famous scenes","5",IF(J111="poems","6",IF(J111="walk","6",IF(J111="faces and events","6",IF(J111="events and names","6",IF(J111="flashbulb","7",IF(J111="stories","7",IF(J111="course material","7",IF(J111="autobiographical","7",IF(J111="novels","7",IF(J111="public events","7",IF(J111="order","90","99")))))))))))))))))))))))))))))))))))))))))))))))</f>
        <v>2</v>
      </c>
      <c r="M111" s="77" t="s">
        <v>195</v>
      </c>
      <c r="N111" s="77">
        <v>1</v>
      </c>
      <c r="O111" s="77" t="s">
        <v>195</v>
      </c>
      <c r="P111" s="77"/>
      <c r="Q111" s="77" t="s">
        <v>18</v>
      </c>
      <c r="R111" s="77" t="str">
        <f>IF(Q111="Free Recall","1",IF(Q111="Cued Recall","2",IF(Q111="Recognition","3",IF(Q111="Multiple Choice","4",IF(Q111="Savings","5",IF(Q111="Stem Completion","6",IF(Q111="Fragment Completion","7",IF(Q111="anagram solution","8",IF(Q111="Matching","9",IF(Q111="Problem Solving","10","99"))))))))))</f>
        <v>3</v>
      </c>
      <c r="S111" s="77" t="s">
        <v>196</v>
      </c>
      <c r="T111" s="96" t="s">
        <v>132</v>
      </c>
      <c r="U111" s="32">
        <f>IF(T111="within",1,0)</f>
        <v>1</v>
      </c>
      <c r="V111" s="96">
        <v>400</v>
      </c>
      <c r="W111" s="77">
        <f>F111*V111</f>
        <v>2400</v>
      </c>
      <c r="X111" s="77">
        <v>12</v>
      </c>
      <c r="Y111" s="98">
        <f>AV110</f>
        <v>288</v>
      </c>
      <c r="Z111" s="77" t="s">
        <v>221</v>
      </c>
      <c r="AA111" s="77">
        <v>25200</v>
      </c>
      <c r="AB111" s="77" t="str">
        <f>IF(AA111&lt;60,"1",IF(AA111&lt;=43200,"2",IF(AA111&lt;=777600,"3","4")))</f>
        <v>2</v>
      </c>
      <c r="AC111" s="100">
        <f>AVERAGE(AV110:DA110)</f>
        <v>8799</v>
      </c>
      <c r="AD111" s="77" t="str">
        <f>IF(AC111&lt;60,"1",IF(AC111&lt;=43200,"2",IF(AC111&lt;=777600,"3","4")))</f>
        <v>2</v>
      </c>
      <c r="AE111" s="98">
        <f>AA111-Y111</f>
        <v>24912</v>
      </c>
      <c r="AF111" s="99">
        <f>AV111</f>
        <v>4.1500000000000004</v>
      </c>
      <c r="AG111" s="100">
        <f>((AW111-AV111)+(AX111-AW111)+(AY111-AX111)+(AZ111-AY111)+(BA111-AZ111)+(BB111-BA111)+(BC111-BB111)+(BD111-BC111)+(BE111-BD111)+(BF111-BE111)+(BG111-BF111))/11</f>
        <v>-0.17727272727272728</v>
      </c>
      <c r="AH111" s="84"/>
      <c r="AI111" s="100">
        <f>RSQ(AV111:BG111,AV110:BG110)</f>
        <v>0.77700208396550474</v>
      </c>
      <c r="AJ111" s="105">
        <f>SLOPE(AV111:BG111,AV110:BG110)</f>
        <v>-7.0220632365315401E-5</v>
      </c>
      <c r="AK111" s="100">
        <f>INTERCEPT(AV111:BG111,AV110:BG110)</f>
        <v>3.7895380108490775</v>
      </c>
      <c r="AL111" s="100">
        <f>INDEX(LINEST(LN(AV111:BG111),LN(AV110:BG110),TRUE,TRUE),3,1)</f>
        <v>0.88442018084558227</v>
      </c>
      <c r="AM111" s="100">
        <f>INDEX(LINEST(LN(AV111:BG111),LN(AV110:BG110)),1)</f>
        <v>-0.13785230161429973</v>
      </c>
      <c r="AN111" s="100">
        <f>EXP(INDEX(LINEST(LN(AV111:BG111),LN(AV110:BG110)),1,2))</f>
        <v>9.6947529063913631</v>
      </c>
      <c r="AO111" s="104">
        <f>INDEX(LINEST((AV111:BG111),LN(AV110:BG110),TRUE,TRUE),3,1)</f>
        <v>0.88653087567697975</v>
      </c>
      <c r="AP111" s="104">
        <f>INDEX(LINEST((AV111:BG111),LN(AV110:BG110)),1)</f>
        <v>-0.43699648834611893</v>
      </c>
      <c r="AQ111" s="48">
        <f>INDEX(LINEST(LN(AV111:BG111),SQRT(AV110:BG110),TRUE,TRUE),3,1)</f>
        <v>0.89347765706103699</v>
      </c>
      <c r="AR111" s="56">
        <f>INDEX(LINEST(LN(AV111:BG111),SQRT((AV110:BG110))),1)</f>
        <v>-4.1530086828528833E-3</v>
      </c>
      <c r="AS111" s="49">
        <f>INDEX(LINEST(1/(AV111:BG111),1/(SQRT(AV110:BG110)),TRUE,TRUE),3,1)</f>
        <v>0.70119504635110164</v>
      </c>
      <c r="AT111" s="49">
        <f>INDEX(LINEST(1/(AV111:BG111),1/SQRT(AV110:BG110)),1)</f>
        <v>-3.7460584487743707</v>
      </c>
      <c r="AU111" s="63"/>
      <c r="AV111" s="65">
        <v>4.1500000000000004</v>
      </c>
      <c r="AW111" s="65">
        <v>4.4000000000000004</v>
      </c>
      <c r="AX111" s="65">
        <v>3.39</v>
      </c>
      <c r="AY111" s="65">
        <v>3.6</v>
      </c>
      <c r="AZ111" s="65">
        <v>3.81</v>
      </c>
      <c r="BA111" s="65">
        <v>3.27</v>
      </c>
      <c r="BB111" s="65">
        <v>2.83</v>
      </c>
      <c r="BC111" s="65">
        <v>2.84</v>
      </c>
      <c r="BD111" s="65">
        <v>2.4300000000000002</v>
      </c>
      <c r="BE111" s="65">
        <v>2.79</v>
      </c>
      <c r="BF111" s="65">
        <v>2.35</v>
      </c>
      <c r="BG111" s="65">
        <v>2.2000000000000002</v>
      </c>
      <c r="BH111" s="65"/>
      <c r="BI111" s="65"/>
      <c r="BJ111" s="65"/>
      <c r="BK111" s="65"/>
      <c r="BL111" s="61"/>
      <c r="BM111" s="61"/>
      <c r="BN111" s="61"/>
      <c r="BO111" s="61"/>
      <c r="BP111" s="61"/>
      <c r="BQ111" s="61"/>
      <c r="BR111" s="61"/>
      <c r="BS111" s="61"/>
      <c r="BT111" s="61"/>
      <c r="BU111" s="61"/>
      <c r="BV111" s="61"/>
      <c r="BW111" s="61"/>
      <c r="BX111" s="61"/>
      <c r="BY111" s="61"/>
      <c r="BZ111" s="61"/>
      <c r="CA111" s="61"/>
      <c r="CB111" s="61"/>
      <c r="CC111" s="61"/>
      <c r="CD111" s="61"/>
      <c r="CE111" s="61"/>
      <c r="CF111" s="61"/>
      <c r="CG111" s="61"/>
      <c r="CH111" s="61"/>
      <c r="CI111" s="61"/>
      <c r="CJ111" s="61"/>
      <c r="CK111" s="61"/>
      <c r="CL111" s="61"/>
      <c r="CM111" s="61"/>
      <c r="CN111" s="61"/>
      <c r="CO111" s="61"/>
      <c r="CP111" s="61"/>
      <c r="CQ111" s="61"/>
      <c r="CR111" s="59"/>
      <c r="CS111" s="59"/>
      <c r="CT111" s="59"/>
      <c r="CU111" s="59"/>
    </row>
    <row r="112" spans="1:99" s="60" customFormat="1" ht="12" customHeight="1" x14ac:dyDescent="0.2">
      <c r="A112" s="94">
        <v>43509</v>
      </c>
      <c r="B112" s="101"/>
      <c r="C112" s="101"/>
      <c r="D112" s="77"/>
      <c r="E112" s="98"/>
      <c r="F112" s="77"/>
      <c r="G112" s="77"/>
      <c r="H112" s="77"/>
      <c r="I112" s="77"/>
      <c r="J112" s="77"/>
      <c r="K112" s="102"/>
      <c r="L112" s="102"/>
      <c r="M112" s="77"/>
      <c r="N112" s="77"/>
      <c r="O112" s="77"/>
      <c r="P112" s="77"/>
      <c r="Q112" s="77"/>
      <c r="R112" s="77"/>
      <c r="S112" s="77"/>
      <c r="T112" s="96"/>
      <c r="U112" s="32"/>
      <c r="V112" s="77"/>
      <c r="W112" s="77"/>
      <c r="X112" s="77"/>
      <c r="Y112" s="98"/>
      <c r="Z112" s="77"/>
      <c r="AA112" s="77"/>
      <c r="AB112" s="77"/>
      <c r="AC112" s="77"/>
      <c r="AD112" s="77"/>
      <c r="AE112" s="77"/>
      <c r="AF112" s="99"/>
      <c r="AG112" s="100"/>
      <c r="AH112" s="84"/>
      <c r="AI112" s="100"/>
      <c r="AJ112" s="105"/>
      <c r="AK112" s="100"/>
      <c r="AL112" s="100"/>
      <c r="AM112" s="100"/>
      <c r="AN112" s="100"/>
      <c r="AO112" s="100"/>
      <c r="AP112" s="100"/>
      <c r="AQ112" s="100"/>
      <c r="AR112" s="105"/>
      <c r="AS112" s="100"/>
      <c r="AT112" s="100"/>
      <c r="AU112" s="62"/>
      <c r="AV112" s="64">
        <f>3600*0.08</f>
        <v>288</v>
      </c>
      <c r="AW112" s="64">
        <f>3600*0.17</f>
        <v>612</v>
      </c>
      <c r="AX112" s="64">
        <f>3600*0.25</f>
        <v>900</v>
      </c>
      <c r="AY112" s="64">
        <f>3600*0.33</f>
        <v>1188</v>
      </c>
      <c r="AZ112" s="64">
        <f>3600*0.5</f>
        <v>1800</v>
      </c>
      <c r="BA112" s="64">
        <f>3600*1</f>
        <v>3600</v>
      </c>
      <c r="BB112" s="64">
        <f>3600*2</f>
        <v>7200</v>
      </c>
      <c r="BC112" s="64">
        <f>3600*3</f>
        <v>10800</v>
      </c>
      <c r="BD112" s="64">
        <f>3600*4</f>
        <v>14400</v>
      </c>
      <c r="BE112" s="64">
        <f>3600*5</f>
        <v>18000</v>
      </c>
      <c r="BF112" s="64">
        <f>3600*6</f>
        <v>21600</v>
      </c>
      <c r="BG112" s="64">
        <f>3600*7</f>
        <v>25200</v>
      </c>
      <c r="BH112" s="65"/>
      <c r="BI112" s="65"/>
      <c r="BJ112" s="65"/>
      <c r="BK112" s="65"/>
      <c r="BL112" s="61"/>
      <c r="BM112" s="61"/>
      <c r="BN112" s="61"/>
      <c r="BO112" s="61"/>
      <c r="BP112" s="61"/>
      <c r="BQ112" s="61"/>
      <c r="BR112" s="61"/>
      <c r="BS112" s="61"/>
      <c r="BT112" s="61"/>
      <c r="BU112" s="61"/>
      <c r="BV112" s="61"/>
      <c r="BW112" s="61"/>
      <c r="BX112" s="61"/>
      <c r="BY112" s="61"/>
      <c r="BZ112" s="61"/>
      <c r="CA112" s="61"/>
      <c r="CB112" s="61"/>
      <c r="CC112" s="61"/>
      <c r="CD112" s="61"/>
      <c r="CE112" s="61"/>
      <c r="CF112" s="61"/>
      <c r="CG112" s="61"/>
      <c r="CH112" s="61"/>
      <c r="CI112" s="61"/>
      <c r="CJ112" s="61"/>
      <c r="CK112" s="61"/>
      <c r="CL112" s="61"/>
      <c r="CM112" s="61"/>
      <c r="CN112" s="61"/>
      <c r="CO112" s="61"/>
      <c r="CP112" s="61"/>
      <c r="CQ112" s="61"/>
      <c r="CR112" s="59"/>
      <c r="CS112" s="59"/>
      <c r="CT112" s="59"/>
      <c r="CU112" s="59"/>
    </row>
    <row r="113" spans="1:99" s="60" customFormat="1" ht="12" customHeight="1" x14ac:dyDescent="0.2">
      <c r="A113" s="94">
        <v>43509</v>
      </c>
      <c r="B113" s="101" t="s">
        <v>203</v>
      </c>
      <c r="C113" s="101" t="s">
        <v>204</v>
      </c>
      <c r="D113" s="77">
        <v>1972</v>
      </c>
      <c r="E113" s="98">
        <v>1</v>
      </c>
      <c r="F113" s="77">
        <v>6</v>
      </c>
      <c r="G113" s="77">
        <v>6</v>
      </c>
      <c r="H113" s="77" t="s">
        <v>13</v>
      </c>
      <c r="I113" s="77" t="s">
        <v>222</v>
      </c>
      <c r="J113" s="77" t="s">
        <v>12</v>
      </c>
      <c r="K113" s="77" t="str">
        <f>IF(J113="syllables","1",IF(J113="trigrams","2",IF(J113="strings","3",IF(J113="visual array","4",IF(J113="characters","5",IF(J113="letters","6",IF(J113="free forms","7",IF(J113="odors","8",IF(J113="words","9",IF(J113="pictures","10",IF(J113="object pictures","11",IF(J113="faces","12",IF(J113="names","13",IF(J113="idioms","14",IF(J113="grades","15",IF(J113="syllable-digit pairs","16",IF(J113="trigram-word pairs","17",IF(J113="word-digit pairs","18",IF(J113="English-Swahili pairs","19",IF(J113="spatial position","20",IF(J113="word pairs","21",IF(J113="word triads","22",IF(J113="generated words","23",IF(J113="word definition pairs","24",IF(J113="math problems","25",IF(J113="famous faces","26",IF(J113="famous names","27",IF(J113="famous voices","28",IF(J113="television programs","29",IF(J113="race horses","30",IF(J113="new vocabulary","31",IF(J113="sentences","32",IF(J113="concepts","33",IF(J113="ad slides","34",IF(J113="scenes","35",IF(J113="famous scenes","36",IF(J113="poems","37",IF(J113="walk","38",IF(J113="faces and events","39",IF(J113="events and names","40",IF(J113="flashbulb","41",IF(J113="stories","42",IF(J113="course material","43",IF(J113="autobiographical","44",IF(J113="novels","45",IF(J113="public events","46",IF(J113="order","90","99")))))))))))))))))))))))))))))))))))))))))))))))</f>
        <v>9</v>
      </c>
      <c r="L113" s="77" t="str">
        <f>IF(J113="syllables","1",IF(J113="trigrams","1",IF(J113="strings","1",IF(J113="visual array","1",IF(J113="characters","1",IF(J113="letters","1",IF(J113="free forms","1",IF(J113="odors","2",IF(J113="words","2",IF(J113="pictures","2",IF(J113="object pictures","2",IF(J113="faces","2",IF(J113="names","2",IF(J113="idioms","2",IF(J113="grades","2",IF(J113="syllable-digit pairs","3",IF(J113="trigram-word pairs","3",IF(J113="word-digit pairs","3",IF(J113="English-Swahili pairs","3",IF(J113="spatial position","3",IF(J113="word pairs","4",IF(J113="word triads","4",IF(J113="generated words","4",IF(J113="word definition pairs","4",IF(J113="math problems","4",IF(J113="famous faces","4",IF(J113="famous names","4",IF(J113="famous voices","4",IF(J113="television programs","4",IF(J113="race horses","4",IF(J113="new vocabulary","4",IF(J113="sentences","5",IF(J113="concepts","5",IF(J113="ad slides","5",IF(J113="scenes","5",IF(J113="famous scenes","5",IF(J113="poems","6",IF(J113="walk","6",IF(J113="faces and events","6",IF(J113="events and names","6",IF(J113="flashbulb","7",IF(J113="stories","7",IF(J113="course material","7",IF(J113="autobiographical","7",IF(J113="novels","7",IF(J113="public events","7",IF(J113="order","90","99")))))))))))))))))))))))))))))))))))))))))))))))</f>
        <v>2</v>
      </c>
      <c r="M113" s="77" t="s">
        <v>195</v>
      </c>
      <c r="N113" s="77">
        <v>1</v>
      </c>
      <c r="O113" s="77" t="s">
        <v>195</v>
      </c>
      <c r="P113" s="77"/>
      <c r="Q113" s="77" t="s">
        <v>18</v>
      </c>
      <c r="R113" s="77" t="str">
        <f>IF(Q113="Free Recall","1",IF(Q113="Cued Recall","2",IF(Q113="Recognition","3",IF(Q113="Multiple Choice","4",IF(Q113="Savings","5",IF(Q113="Stem Completion","6",IF(Q113="Fragment Completion","7",IF(Q113="anagram solution","8",IF(Q113="Matching","9",IF(Q113="Problem Solving","10","99"))))))))))</f>
        <v>3</v>
      </c>
      <c r="S113" s="77" t="s">
        <v>196</v>
      </c>
      <c r="T113" s="96" t="s">
        <v>132</v>
      </c>
      <c r="U113" s="32">
        <f>IF(T113="within",1,0)</f>
        <v>1</v>
      </c>
      <c r="V113" s="96">
        <v>400</v>
      </c>
      <c r="W113" s="77">
        <f>F113*V113</f>
        <v>2400</v>
      </c>
      <c r="X113" s="77">
        <v>12</v>
      </c>
      <c r="Y113" s="98">
        <f>AV112</f>
        <v>288</v>
      </c>
      <c r="Z113" s="77" t="s">
        <v>221</v>
      </c>
      <c r="AA113" s="77">
        <v>25200</v>
      </c>
      <c r="AB113" s="77" t="str">
        <f>IF(AA113&lt;60,"1",IF(AA113&lt;=43200,"2",IF(AA113&lt;=777600,"3","4")))</f>
        <v>2</v>
      </c>
      <c r="AC113" s="100">
        <f>AVERAGE(AV112:DA112)</f>
        <v>8799</v>
      </c>
      <c r="AD113" s="77" t="str">
        <f>IF(AC113&lt;60,"1",IF(AC113&lt;=43200,"2",IF(AC113&lt;=777600,"3","4")))</f>
        <v>2</v>
      </c>
      <c r="AE113" s="98">
        <f>AA113-Y113</f>
        <v>24912</v>
      </c>
      <c r="AF113" s="99">
        <f>AV113</f>
        <v>3.55</v>
      </c>
      <c r="AG113" s="100">
        <f>((AW113-AV113)+(AX113-AW113)+(AY113-AX113)+(AZ113-AY113)+(BA113-AZ113)+(BB113-BA113)+(BC113-BB113)+(BD113-BC113)+(BE113-BD113)+(BF113-BE113)+(BG113-BF113))/11</f>
        <v>-0.17909090909090908</v>
      </c>
      <c r="AH113" s="84"/>
      <c r="AI113" s="100">
        <f>RSQ(AV113:BG113,AV112:BG112)</f>
        <v>0.826405956696178</v>
      </c>
      <c r="AJ113" s="105">
        <f>SLOPE(AV113:BG113,AV112:BG112)</f>
        <v>-7.2198932461174019E-5</v>
      </c>
      <c r="AK113" s="100">
        <f>INTERCEPT(AV113:BG113,AV112:BG112)</f>
        <v>3.2002784067258703</v>
      </c>
      <c r="AL113" s="100">
        <f>INDEX(LINEST(LN(AV113:BG113),LN(AV112:BG112),TRUE,TRUE),3,1)</f>
        <v>0.82245982762872427</v>
      </c>
      <c r="AM113" s="100">
        <f>INDEX(LINEST(LN(AV113:BG113),LN(AV112:BG112)),1)</f>
        <v>-0.17390240364693083</v>
      </c>
      <c r="AN113" s="100">
        <f>EXP(INDEX(LINEST(LN(AV113:BG113),LN(AV112:BG112)),1,2))</f>
        <v>10.407444306887632</v>
      </c>
      <c r="AO113" s="104">
        <f>INDEX(LINEST((AV113:BG113),LN(AV112:BG112),TRUE,TRUE),3,1)</f>
        <v>0.86578662624057201</v>
      </c>
      <c r="AP113" s="104">
        <f>INDEX(LINEST((AV113:BG113),LN(AV112:BG112)),1)</f>
        <v>-0.43054332757538399</v>
      </c>
      <c r="AQ113" s="48">
        <f>INDEX(LINEST(LN(AV113:BG113),SQRT(AV112:BG112),TRUE,TRUE),3,1)</f>
        <v>0.87749478814924664</v>
      </c>
      <c r="AR113" s="56">
        <f>INDEX(LINEST(LN(AV113:BG113),SQRT((AV112:BG112))),1)</f>
        <v>-5.3840216986160514E-3</v>
      </c>
      <c r="AS113" s="49">
        <f>INDEX(LINEST(1/(AV113:BG113),1/(SQRT(AV112:BG112)),TRUE,TRUE),3,1)</f>
        <v>0.58187369155488744</v>
      </c>
      <c r="AT113" s="49">
        <f>INDEX(LINEST(1/(AV113:BG113),1/SQRT(AV112:BG112)),1)</f>
        <v>-5.9996481831993043</v>
      </c>
      <c r="AU113" s="63"/>
      <c r="AV113" s="65">
        <v>3.55</v>
      </c>
      <c r="AW113" s="65">
        <v>3.52</v>
      </c>
      <c r="AX113" s="65">
        <v>2.81</v>
      </c>
      <c r="AY113" s="65">
        <v>3.31</v>
      </c>
      <c r="AZ113" s="65">
        <v>2.98</v>
      </c>
      <c r="BA113" s="65">
        <v>2.77</v>
      </c>
      <c r="BB113" s="65">
        <v>2.02</v>
      </c>
      <c r="BC113" s="65">
        <v>2.59</v>
      </c>
      <c r="BD113" s="65">
        <v>2.21</v>
      </c>
      <c r="BE113" s="65">
        <v>1.93</v>
      </c>
      <c r="BF113" s="65">
        <v>1.51</v>
      </c>
      <c r="BG113" s="65">
        <v>1.58</v>
      </c>
      <c r="BH113" s="65"/>
      <c r="BI113" s="65"/>
      <c r="BJ113" s="65"/>
      <c r="BK113" s="65"/>
      <c r="BL113" s="61"/>
      <c r="BM113" s="61"/>
      <c r="BN113" s="61"/>
      <c r="BO113" s="61"/>
      <c r="BP113" s="61"/>
      <c r="BQ113" s="61"/>
      <c r="BR113" s="61"/>
      <c r="BS113" s="61"/>
      <c r="BT113" s="61"/>
      <c r="BU113" s="61"/>
      <c r="BV113" s="61"/>
      <c r="BW113" s="61"/>
      <c r="BX113" s="61"/>
      <c r="BY113" s="61"/>
      <c r="BZ113" s="61"/>
      <c r="CA113" s="61"/>
      <c r="CB113" s="61"/>
      <c r="CC113" s="61"/>
      <c r="CD113" s="61"/>
      <c r="CE113" s="61"/>
      <c r="CF113" s="61"/>
      <c r="CG113" s="61"/>
      <c r="CH113" s="61"/>
      <c r="CI113" s="61"/>
      <c r="CJ113" s="61"/>
      <c r="CK113" s="61"/>
      <c r="CL113" s="61"/>
      <c r="CM113" s="61"/>
      <c r="CN113" s="61"/>
      <c r="CO113" s="61"/>
      <c r="CP113" s="61"/>
      <c r="CQ113" s="61"/>
      <c r="CR113" s="59"/>
      <c r="CS113" s="59"/>
      <c r="CT113" s="59"/>
      <c r="CU113" s="59"/>
    </row>
    <row r="114" spans="1:99" s="60" customFormat="1" ht="12" customHeight="1" x14ac:dyDescent="0.2">
      <c r="A114" s="94">
        <v>43509</v>
      </c>
      <c r="B114" s="101"/>
      <c r="C114" s="101"/>
      <c r="D114" s="77"/>
      <c r="E114" s="98"/>
      <c r="F114" s="77"/>
      <c r="G114" s="77"/>
      <c r="H114" s="77"/>
      <c r="I114" s="77"/>
      <c r="J114" s="77"/>
      <c r="K114" s="102"/>
      <c r="L114" s="102"/>
      <c r="M114" s="77"/>
      <c r="N114" s="77"/>
      <c r="O114" s="77"/>
      <c r="P114" s="77"/>
      <c r="Q114" s="77"/>
      <c r="R114" s="77"/>
      <c r="S114" s="77"/>
      <c r="T114" s="96"/>
      <c r="U114" s="32"/>
      <c r="V114" s="77"/>
      <c r="W114" s="77"/>
      <c r="X114" s="77"/>
      <c r="Y114" s="98"/>
      <c r="Z114" s="77"/>
      <c r="AA114" s="77"/>
      <c r="AB114" s="77"/>
      <c r="AC114" s="77"/>
      <c r="AD114" s="77"/>
      <c r="AE114" s="77"/>
      <c r="AF114" s="99"/>
      <c r="AG114" s="100"/>
      <c r="AH114" s="84"/>
      <c r="AI114" s="100"/>
      <c r="AJ114" s="105"/>
      <c r="AK114" s="100"/>
      <c r="AL114" s="100"/>
      <c r="AM114" s="100"/>
      <c r="AN114" s="100"/>
      <c r="AO114" s="100"/>
      <c r="AP114" s="100"/>
      <c r="AQ114" s="100"/>
      <c r="AR114" s="105"/>
      <c r="AS114" s="100"/>
      <c r="AT114" s="100"/>
      <c r="AU114" s="62"/>
      <c r="AV114" s="64">
        <f>3600*0.08</f>
        <v>288</v>
      </c>
      <c r="AW114" s="64">
        <f>3600*0.17</f>
        <v>612</v>
      </c>
      <c r="AX114" s="64">
        <f>3600*0.25</f>
        <v>900</v>
      </c>
      <c r="AY114" s="64">
        <f>3600*0.33</f>
        <v>1188</v>
      </c>
      <c r="AZ114" s="64">
        <f>3600*0.5</f>
        <v>1800</v>
      </c>
      <c r="BA114" s="64">
        <f>3600*1</f>
        <v>3600</v>
      </c>
      <c r="BB114" s="64">
        <f>3600*2</f>
        <v>7200</v>
      </c>
      <c r="BC114" s="64">
        <f>3600*3</f>
        <v>10800</v>
      </c>
      <c r="BD114" s="64">
        <f>3600*4</f>
        <v>14400</v>
      </c>
      <c r="BE114" s="64">
        <f>3600*5</f>
        <v>18000</v>
      </c>
      <c r="BF114" s="64">
        <f>3600*6</f>
        <v>21600</v>
      </c>
      <c r="BG114" s="64">
        <f>3600*7</f>
        <v>25200</v>
      </c>
      <c r="BH114" s="65"/>
      <c r="BI114" s="65"/>
      <c r="BJ114" s="65"/>
      <c r="BK114" s="65"/>
      <c r="BL114" s="61"/>
      <c r="BM114" s="61"/>
      <c r="BN114" s="61"/>
      <c r="BO114" s="61"/>
      <c r="BP114" s="61"/>
      <c r="BQ114" s="61"/>
      <c r="BR114" s="61"/>
      <c r="BS114" s="61"/>
      <c r="BT114" s="61"/>
      <c r="BU114" s="61"/>
      <c r="BV114" s="61"/>
      <c r="BW114" s="61"/>
      <c r="BX114" s="61"/>
      <c r="BY114" s="61"/>
      <c r="BZ114" s="61"/>
      <c r="CA114" s="61"/>
      <c r="CB114" s="61"/>
      <c r="CC114" s="61"/>
      <c r="CD114" s="61"/>
      <c r="CE114" s="61"/>
      <c r="CF114" s="61"/>
      <c r="CG114" s="61"/>
      <c r="CH114" s="61"/>
      <c r="CI114" s="61"/>
      <c r="CJ114" s="61"/>
      <c r="CK114" s="61"/>
      <c r="CL114" s="61"/>
      <c r="CM114" s="61"/>
      <c r="CN114" s="61"/>
      <c r="CO114" s="61"/>
      <c r="CP114" s="61"/>
      <c r="CQ114" s="61"/>
      <c r="CR114" s="59"/>
      <c r="CS114" s="59"/>
      <c r="CT114" s="59"/>
      <c r="CU114" s="59"/>
    </row>
    <row r="115" spans="1:99" s="60" customFormat="1" ht="12" customHeight="1" x14ac:dyDescent="0.2">
      <c r="A115" s="94">
        <v>43509</v>
      </c>
      <c r="B115" s="101" t="s">
        <v>203</v>
      </c>
      <c r="C115" s="101" t="s">
        <v>204</v>
      </c>
      <c r="D115" s="77">
        <v>1972</v>
      </c>
      <c r="E115" s="98">
        <v>1</v>
      </c>
      <c r="F115" s="77">
        <v>6</v>
      </c>
      <c r="G115" s="77">
        <v>6</v>
      </c>
      <c r="H115" s="77" t="s">
        <v>13</v>
      </c>
      <c r="I115" s="77" t="s">
        <v>223</v>
      </c>
      <c r="J115" s="77" t="s">
        <v>12</v>
      </c>
      <c r="K115" s="77" t="str">
        <f>IF(J115="syllables","1",IF(J115="trigrams","2",IF(J115="strings","3",IF(J115="visual array","4",IF(J115="characters","5",IF(J115="letters","6",IF(J115="free forms","7",IF(J115="odors","8",IF(J115="words","9",IF(J115="pictures","10",IF(J115="object pictures","11",IF(J115="faces","12",IF(J115="names","13",IF(J115="idioms","14",IF(J115="grades","15",IF(J115="syllable-digit pairs","16",IF(J115="trigram-word pairs","17",IF(J115="word-digit pairs","18",IF(J115="English-Swahili pairs","19",IF(J115="spatial position","20",IF(J115="word pairs","21",IF(J115="word triads","22",IF(J115="generated words","23",IF(J115="word definition pairs","24",IF(J115="math problems","25",IF(J115="famous faces","26",IF(J115="famous names","27",IF(J115="famous voices","28",IF(J115="television programs","29",IF(J115="race horses","30",IF(J115="new vocabulary","31",IF(J115="sentences","32",IF(J115="concepts","33",IF(J115="ad slides","34",IF(J115="scenes","35",IF(J115="famous scenes","36",IF(J115="poems","37",IF(J115="walk","38",IF(J115="faces and events","39",IF(J115="events and names","40",IF(J115="flashbulb","41",IF(J115="stories","42",IF(J115="course material","43",IF(J115="autobiographical","44",IF(J115="novels","45",IF(J115="public events","46",IF(J115="order","90","99")))))))))))))))))))))))))))))))))))))))))))))))</f>
        <v>9</v>
      </c>
      <c r="L115" s="77" t="str">
        <f>IF(J115="syllables","1",IF(J115="trigrams","1",IF(J115="strings","1",IF(J115="visual array","1",IF(J115="characters","1",IF(J115="letters","1",IF(J115="free forms","1",IF(J115="odors","2",IF(J115="words","2",IF(J115="pictures","2",IF(J115="object pictures","2",IF(J115="faces","2",IF(J115="names","2",IF(J115="idioms","2",IF(J115="grades","2",IF(J115="syllable-digit pairs","3",IF(J115="trigram-word pairs","3",IF(J115="word-digit pairs","3",IF(J115="English-Swahili pairs","3",IF(J115="spatial position","3",IF(J115="word pairs","4",IF(J115="word triads","4",IF(J115="generated words","4",IF(J115="word definition pairs","4",IF(J115="math problems","4",IF(J115="famous faces","4",IF(J115="famous names","4",IF(J115="famous voices","4",IF(J115="television programs","4",IF(J115="race horses","4",IF(J115="new vocabulary","4",IF(J115="sentences","5",IF(J115="concepts","5",IF(J115="ad slides","5",IF(J115="scenes","5",IF(J115="famous scenes","5",IF(J115="poems","6",IF(J115="walk","6",IF(J115="faces and events","6",IF(J115="events and names","6",IF(J115="flashbulb","7",IF(J115="stories","7",IF(J115="course material","7",IF(J115="autobiographical","7",IF(J115="novels","7",IF(J115="public events","7",IF(J115="order","90","99")))))))))))))))))))))))))))))))))))))))))))))))</f>
        <v>2</v>
      </c>
      <c r="M115" s="77" t="s">
        <v>195</v>
      </c>
      <c r="N115" s="77">
        <v>1</v>
      </c>
      <c r="O115" s="77" t="s">
        <v>195</v>
      </c>
      <c r="P115" s="77"/>
      <c r="Q115" s="77" t="s">
        <v>18</v>
      </c>
      <c r="R115" s="77" t="str">
        <f>IF(Q115="Free Recall","1",IF(Q115="Cued Recall","2",IF(Q115="Recognition","3",IF(Q115="Multiple Choice","4",IF(Q115="Savings","5",IF(Q115="Stem Completion","6",IF(Q115="Fragment Completion","7",IF(Q115="anagram solution","8",IF(Q115="Matching","9",IF(Q115="Problem Solving","10","99"))))))))))</f>
        <v>3</v>
      </c>
      <c r="S115" s="77" t="s">
        <v>196</v>
      </c>
      <c r="T115" s="96" t="s">
        <v>132</v>
      </c>
      <c r="U115" s="32">
        <f>IF(T115="within",1,0)</f>
        <v>1</v>
      </c>
      <c r="V115" s="96">
        <v>400</v>
      </c>
      <c r="W115" s="77">
        <f>F115*V115</f>
        <v>2400</v>
      </c>
      <c r="X115" s="77">
        <v>12</v>
      </c>
      <c r="Y115" s="98">
        <f>AV114</f>
        <v>288</v>
      </c>
      <c r="Z115" s="77" t="s">
        <v>221</v>
      </c>
      <c r="AA115" s="77">
        <v>25200</v>
      </c>
      <c r="AB115" s="77" t="str">
        <f>IF(AA115&lt;60,"1",IF(AA115&lt;=43200,"2",IF(AA115&lt;=777600,"3","4")))</f>
        <v>2</v>
      </c>
      <c r="AC115" s="100">
        <f>AVERAGE(AV114:DA114)</f>
        <v>8799</v>
      </c>
      <c r="AD115" s="77" t="str">
        <f>IF(AC115&lt;60,"1",IF(AC115&lt;=43200,"2",IF(AC115&lt;=777600,"3","4")))</f>
        <v>2</v>
      </c>
      <c r="AE115" s="98">
        <f>AA115-Y115</f>
        <v>24912</v>
      </c>
      <c r="AF115" s="99">
        <f>AV115</f>
        <v>2.44</v>
      </c>
      <c r="AG115" s="100">
        <f>((AW115-AV115)+(AX115-AW115)+(AY115-AX115)+(AZ115-AY115)+(BA115-AZ115)+(BB115-BA115)+(BC115-BB115)+(BD115-BC115)+(BE115-BD115)+(BF115-BE115)+(BG115-BF115))/11</f>
        <v>-0.14000000000000001</v>
      </c>
      <c r="AH115" s="84"/>
      <c r="AI115" s="100">
        <f>RSQ(AV115:BG115,AV114:BG114)</f>
        <v>0.87601557810489894</v>
      </c>
      <c r="AJ115" s="105">
        <f>SLOPE(AV115:BG115,AV114:BG114)</f>
        <v>-5.0548307421075858E-5</v>
      </c>
      <c r="AK115" s="100">
        <f>INTERCEPT(AV115:BG115,AV114:BG114)</f>
        <v>2.0831078903313802</v>
      </c>
      <c r="AL115" s="100">
        <f>INDEX(LINEST(LN(AV115:BG115),LN(AV114:BG114),TRUE,TRUE),3,1)</f>
        <v>0.89982330547151279</v>
      </c>
      <c r="AM115" s="100">
        <f>INDEX(LINEST(LN(AV115:BG115),LN(AV114:BG114)),1)</f>
        <v>-0.19278369016112795</v>
      </c>
      <c r="AN115" s="100">
        <f>EXP(INDEX(LINEST(LN(AV115:BG115),LN(AV114:BG114)),1,2))</f>
        <v>7.7346071499252416</v>
      </c>
      <c r="AO115" s="104">
        <f>INDEX(LINEST((AV115:BG115),LN(AV114:BG114),TRUE,TRUE),3,1)</f>
        <v>0.94968430152911099</v>
      </c>
      <c r="AP115" s="104">
        <f>INDEX(LINEST((AV115:BG115),LN(AV114:BG114)),1)</f>
        <v>-0.30663216042222707</v>
      </c>
      <c r="AQ115" s="48">
        <f>INDEX(LINEST(LN(AV115:BG115),SQRT(AV114:BG114),TRUE,TRUE),3,1)</f>
        <v>0.95300608148307209</v>
      </c>
      <c r="AR115" s="56">
        <f>INDEX(LINEST(LN(AV115:BG115),SQRT((AV114:BG114))),1)</f>
        <v>-5.9466968210296744E-3</v>
      </c>
      <c r="AS115" s="49">
        <f>INDEX(LINEST(1/(AV115:BG115),1/(SQRT(AV114:BG114)),TRUE,TRUE),3,1)</f>
        <v>0.62585451557264382</v>
      </c>
      <c r="AT115" s="49">
        <f>INDEX(LINEST(1/(AV115:BG115),1/SQRT(AV114:BG114)),1)</f>
        <v>-10.462015601026918</v>
      </c>
      <c r="AU115" s="63"/>
      <c r="AV115" s="65">
        <v>2.44</v>
      </c>
      <c r="AW115" s="65">
        <v>2.2200000000000002</v>
      </c>
      <c r="AX115" s="65">
        <v>1.89</v>
      </c>
      <c r="AY115" s="65">
        <v>2.1</v>
      </c>
      <c r="AZ115" s="65">
        <v>1.9</v>
      </c>
      <c r="BA115" s="65">
        <v>1.7</v>
      </c>
      <c r="BB115" s="65">
        <v>1.46</v>
      </c>
      <c r="BC115" s="65">
        <v>1.48</v>
      </c>
      <c r="BD115" s="65">
        <v>1.37</v>
      </c>
      <c r="BE115" s="65">
        <v>1.19</v>
      </c>
      <c r="BF115" s="65">
        <v>1.01</v>
      </c>
      <c r="BG115" s="65">
        <v>0.9</v>
      </c>
      <c r="BH115" s="65"/>
      <c r="BI115" s="65"/>
      <c r="BJ115" s="65"/>
      <c r="BK115" s="65"/>
      <c r="BL115" s="61"/>
      <c r="BM115" s="61"/>
      <c r="BN115" s="61"/>
      <c r="BO115" s="61"/>
      <c r="BP115" s="61"/>
      <c r="BQ115" s="61"/>
      <c r="BR115" s="61"/>
      <c r="BS115" s="61"/>
      <c r="BT115" s="61"/>
      <c r="BU115" s="61"/>
      <c r="BV115" s="61"/>
      <c r="BW115" s="61"/>
      <c r="BX115" s="61"/>
      <c r="BY115" s="61"/>
      <c r="BZ115" s="61"/>
      <c r="CA115" s="61"/>
      <c r="CB115" s="61"/>
      <c r="CC115" s="61"/>
      <c r="CD115" s="61"/>
      <c r="CE115" s="61"/>
      <c r="CF115" s="61"/>
      <c r="CG115" s="61"/>
      <c r="CH115" s="61"/>
      <c r="CI115" s="61"/>
      <c r="CJ115" s="61"/>
      <c r="CK115" s="61"/>
      <c r="CL115" s="61"/>
      <c r="CM115" s="61"/>
      <c r="CN115" s="61"/>
      <c r="CO115" s="61"/>
      <c r="CP115" s="61"/>
      <c r="CQ115" s="61"/>
      <c r="CR115" s="59"/>
      <c r="CS115" s="59"/>
      <c r="CT115" s="59"/>
      <c r="CU115" s="59"/>
    </row>
    <row r="116" spans="1:99" s="60" customFormat="1" ht="12" customHeight="1" x14ac:dyDescent="0.2">
      <c r="A116" s="94">
        <v>43509</v>
      </c>
      <c r="B116" s="101"/>
      <c r="C116" s="101"/>
      <c r="D116" s="77"/>
      <c r="E116" s="98"/>
      <c r="F116" s="77"/>
      <c r="G116" s="77"/>
      <c r="H116" s="77"/>
      <c r="I116" s="77"/>
      <c r="J116" s="77"/>
      <c r="K116" s="102"/>
      <c r="L116" s="102"/>
      <c r="M116" s="77"/>
      <c r="N116" s="77"/>
      <c r="O116" s="77"/>
      <c r="P116" s="77"/>
      <c r="Q116" s="77"/>
      <c r="R116" s="77"/>
      <c r="S116" s="77"/>
      <c r="T116" s="96"/>
      <c r="U116" s="32"/>
      <c r="V116" s="77"/>
      <c r="W116" s="77"/>
      <c r="X116" s="77"/>
      <c r="Y116" s="98"/>
      <c r="Z116" s="77"/>
      <c r="AA116" s="77"/>
      <c r="AB116" s="77"/>
      <c r="AC116" s="77"/>
      <c r="AD116" s="77"/>
      <c r="AE116" s="77"/>
      <c r="AF116" s="99"/>
      <c r="AG116" s="100"/>
      <c r="AH116" s="84"/>
      <c r="AI116" s="100"/>
      <c r="AJ116" s="105"/>
      <c r="AK116" s="100"/>
      <c r="AL116" s="100"/>
      <c r="AM116" s="100"/>
      <c r="AN116" s="100"/>
      <c r="AO116" s="100"/>
      <c r="AP116" s="100"/>
      <c r="AQ116" s="100"/>
      <c r="AR116" s="105"/>
      <c r="AS116" s="100"/>
      <c r="AT116" s="100"/>
      <c r="AU116" s="62"/>
      <c r="AV116" s="64">
        <f>3600*0.08</f>
        <v>288</v>
      </c>
      <c r="AW116" s="64">
        <f>3600*0.15</f>
        <v>540</v>
      </c>
      <c r="AX116" s="64">
        <f>3600*0.2</f>
        <v>720</v>
      </c>
      <c r="AY116" s="64">
        <f>3600*0.37</f>
        <v>1332</v>
      </c>
      <c r="AZ116" s="64">
        <f>3600*0.43</f>
        <v>1548</v>
      </c>
      <c r="BA116" s="64">
        <f>3600*0.5</f>
        <v>1800</v>
      </c>
      <c r="BB116" s="64">
        <f>3600*0.57</f>
        <v>2052</v>
      </c>
      <c r="BC116" s="64">
        <f>3600*2</f>
        <v>7200</v>
      </c>
      <c r="BD116" s="64">
        <f>3600*3</f>
        <v>10800</v>
      </c>
      <c r="BE116" s="64">
        <f>3600*4</f>
        <v>14400</v>
      </c>
      <c r="BF116" s="64">
        <f>3600*5</f>
        <v>18000</v>
      </c>
      <c r="BG116" s="64">
        <f>3600*7</f>
        <v>25200</v>
      </c>
      <c r="BH116" s="64">
        <f>3600*10</f>
        <v>36000</v>
      </c>
      <c r="BI116" s="64">
        <f>3600*12</f>
        <v>43200</v>
      </c>
      <c r="BJ116" s="64">
        <f>3600*14</f>
        <v>50400</v>
      </c>
      <c r="BK116" s="65"/>
      <c r="BL116" s="61"/>
      <c r="BM116" s="61"/>
      <c r="BN116" s="61"/>
      <c r="BO116" s="61"/>
      <c r="BP116" s="61"/>
      <c r="BQ116" s="61"/>
      <c r="BR116" s="61"/>
      <c r="BS116" s="61"/>
      <c r="BT116" s="61"/>
      <c r="BU116" s="61"/>
      <c r="BV116" s="61"/>
      <c r="BW116" s="61"/>
      <c r="BX116" s="61"/>
      <c r="BY116" s="61"/>
      <c r="BZ116" s="61"/>
      <c r="CA116" s="61"/>
      <c r="CB116" s="61"/>
      <c r="CC116" s="61"/>
      <c r="CD116" s="61"/>
      <c r="CE116" s="61"/>
      <c r="CF116" s="61"/>
      <c r="CG116" s="61"/>
      <c r="CH116" s="61"/>
      <c r="CI116" s="61"/>
      <c r="CJ116" s="61"/>
      <c r="CK116" s="61"/>
      <c r="CL116" s="61"/>
      <c r="CM116" s="61"/>
      <c r="CN116" s="61"/>
      <c r="CO116" s="61"/>
      <c r="CP116" s="61"/>
      <c r="CQ116" s="61"/>
      <c r="CR116" s="59"/>
      <c r="CS116" s="59"/>
      <c r="CT116" s="59"/>
      <c r="CU116" s="59"/>
    </row>
    <row r="117" spans="1:99" s="60" customFormat="1" ht="12" customHeight="1" x14ac:dyDescent="0.2">
      <c r="A117" s="94">
        <v>43509</v>
      </c>
      <c r="B117" s="101" t="s">
        <v>203</v>
      </c>
      <c r="C117" s="101" t="s">
        <v>204</v>
      </c>
      <c r="D117" s="77">
        <v>1972</v>
      </c>
      <c r="E117" s="98">
        <v>1</v>
      </c>
      <c r="F117" s="77">
        <v>6</v>
      </c>
      <c r="G117" s="77">
        <v>6</v>
      </c>
      <c r="H117" s="77" t="s">
        <v>150</v>
      </c>
      <c r="I117" s="77" t="s">
        <v>209</v>
      </c>
      <c r="J117" s="77" t="s">
        <v>84</v>
      </c>
      <c r="K117" s="77" t="str">
        <f>IF(J117="syllables","1",IF(J117="trigrams","2",IF(J117="strings","3",IF(J117="visual array","4",IF(J117="characters","5",IF(J117="letters","6",IF(J117="free forms","7",IF(J117="odors","8",IF(J117="words","9",IF(J117="pictures","10",IF(J117="object pictures","11",IF(J117="faces","12",IF(J117="names","13",IF(J117="idioms","14",IF(J117="grades","15",IF(J117="syllable-digit pairs","16",IF(J117="trigram-word pairs","17",IF(J117="word-digit pairs","18",IF(J117="English-Swahili pairs","19",IF(J117="spatial position","20",IF(J117="word pairs","21",IF(J117="word triads","22",IF(J117="generated words","23",IF(J117="word definition pairs","24",IF(J117="math problems","25",IF(J117="famous faces","26",IF(J117="famous names","27",IF(J117="famous voices","28",IF(J117="television programs","29",IF(J117="race horses","30",IF(J117="new vocabulary","31",IF(J117="sentences","32",IF(J117="concepts","33",IF(J117="ad slides","34",IF(J117="scenes","35",IF(J117="famous scenes","36",IF(J117="poems","37",IF(J117="walk","38",IF(J117="faces and events","39",IF(J117="events and names","40",IF(J117="flashbulb","41",IF(J117="stories","42",IF(J117="course material","43",IF(J117="autobiographical","44",IF(J117="novels","45",IF(J117="public events","46",IF(J117="order","90","99")))))))))))))))))))))))))))))))))))))))))))))))</f>
        <v>21</v>
      </c>
      <c r="L117" s="77" t="str">
        <f>IF(J117="syllables","1",IF(J117="trigrams","1",IF(J117="strings","1",IF(J117="visual array","1",IF(J117="characters","1",IF(J117="letters","1",IF(J117="free forms","1",IF(J117="odors","2",IF(J117="words","2",IF(J117="pictures","2",IF(J117="object pictures","2",IF(J117="faces","2",IF(J117="names","2",IF(J117="idioms","2",IF(J117="grades","2",IF(J117="syllable-digit pairs","3",IF(J117="trigram-word pairs","3",IF(J117="word-digit pairs","3",IF(J117="English-Swahili pairs","3",IF(J117="spatial position","3",IF(J117="word pairs","4",IF(J117="word triads","4",IF(J117="generated words","4",IF(J117="word definition pairs","4",IF(J117="math problems","4",IF(J117="famous faces","4",IF(J117="famous names","4",IF(J117="famous voices","4",IF(J117="television programs","4",IF(J117="race horses","4",IF(J117="new vocabulary","4",IF(J117="sentences","5",IF(J117="concepts","5",IF(J117="ad slides","5",IF(J117="scenes","5",IF(J117="famous scenes","5",IF(J117="poems","6",IF(J117="walk","6",IF(J117="faces and events","6",IF(J117="events and names","6",IF(J117="flashbulb","7",IF(J117="stories","7",IF(J117="course material","7",IF(J117="autobiographical","7",IF(J117="novels","7",IF(J117="public events","7",IF(J117="order","90","99")))))))))))))))))))))))))))))))))))))))))))))))</f>
        <v>4</v>
      </c>
      <c r="M117" s="77" t="s">
        <v>195</v>
      </c>
      <c r="N117" s="77">
        <v>1</v>
      </c>
      <c r="O117" s="77" t="s">
        <v>195</v>
      </c>
      <c r="P117" s="77"/>
      <c r="Q117" s="77" t="s">
        <v>18</v>
      </c>
      <c r="R117" s="77" t="str">
        <f>IF(Q117="Free Recall","1",IF(Q117="Cued Recall","2",IF(Q117="Recognition","3",IF(Q117="Multiple Choice","4",IF(Q117="Savings","5",IF(Q117="Stem Completion","6",IF(Q117="Fragment Completion","7",IF(Q117="anagram solution","8",IF(Q117="Matching","9",IF(Q117="Problem Solving","10","99"))))))))))</f>
        <v>3</v>
      </c>
      <c r="S117" s="77" t="s">
        <v>196</v>
      </c>
      <c r="T117" s="96" t="s">
        <v>132</v>
      </c>
      <c r="U117" s="32">
        <f>IF(T117="within",1,0)</f>
        <v>1</v>
      </c>
      <c r="V117" s="96">
        <v>400</v>
      </c>
      <c r="W117" s="77">
        <f>F117*V117</f>
        <v>2400</v>
      </c>
      <c r="X117" s="77">
        <v>15</v>
      </c>
      <c r="Y117" s="98">
        <f>AV116</f>
        <v>288</v>
      </c>
      <c r="Z117" s="77" t="s">
        <v>224</v>
      </c>
      <c r="AA117" s="77">
        <v>50400</v>
      </c>
      <c r="AB117" s="77" t="str">
        <f>IF(AA117&lt;60,"1",IF(AA117&lt;=43200,"2",IF(AA117&lt;=777600,"3","4")))</f>
        <v>3</v>
      </c>
      <c r="AC117" s="100">
        <f>AVERAGE(AV116:DA116)</f>
        <v>14232</v>
      </c>
      <c r="AD117" s="77" t="str">
        <f>IF(AC117&lt;60,"1",IF(AC117&lt;=43200,"2",IF(AC117&lt;=777600,"3","4")))</f>
        <v>2</v>
      </c>
      <c r="AE117" s="98">
        <f>AA117-Y117</f>
        <v>50112</v>
      </c>
      <c r="AF117" s="99">
        <f>AV117</f>
        <v>2.69</v>
      </c>
      <c r="AG117" s="100">
        <f>((AW117-AV117)+(AX117-AW117)+(AY117-AX117)+(AZ117-AY117)+(BA117-AZ117)+(BB117-BA117)+(BC117-BB117)+(BD117-BC117)+(BE117-BD117)+(BF117-BE117)+(BG117-BF117)+(BH117-BG117)+(BI117-BH117)+(BJ117-BI117))/14</f>
        <v>-0.14357142857142854</v>
      </c>
      <c r="AH117" s="84"/>
      <c r="AI117" s="100">
        <f>RSQ(AV117:BJ117,AV116:BJ116)</f>
        <v>0.74696825554870194</v>
      </c>
      <c r="AJ117" s="105">
        <f>SLOPE(AV117:BJ117,AV116:BJ116)</f>
        <v>-3.1294671546468128E-5</v>
      </c>
      <c r="AK117" s="100">
        <f>INTERCEPT(AV117:BJ117,AV116:BJ116)</f>
        <v>2.1340524321160008</v>
      </c>
      <c r="AL117" s="100">
        <f>INDEX(LINEST(LN(AV117:BJ117),LN(AV116:BJ116),TRUE,TRUE),3,1)</f>
        <v>0.84674711949587789</v>
      </c>
      <c r="AM117" s="100">
        <f>INDEX(LINEST(LN(AV117:BJ117),LN(AV116:BJ116)),1)</f>
        <v>-0.21069510442248982</v>
      </c>
      <c r="AN117" s="100">
        <f>EXP(INDEX(LINEST(LN(AV117:BJ117),LN(AV116:BJ116)),1,2))</f>
        <v>9.5047984266267669</v>
      </c>
      <c r="AO117" s="104">
        <f>INDEX(LINEST((AV117:BJ117),LN(AV116:BJ116),TRUE,TRUE),3,1)</f>
        <v>0.8876280539858179</v>
      </c>
      <c r="AP117" s="104">
        <f>INDEX(LINEST((AV117:BJ117),LN(AV116:BJ116)),1)</f>
        <v>-0.33418211703619499</v>
      </c>
      <c r="AQ117" s="48">
        <f>INDEX(LINEST(LN(AV117:BJ117),SQRT(AV116:BJ116),TRUE,TRUE),3,1)</f>
        <v>0.89688189972724675</v>
      </c>
      <c r="AR117" s="56">
        <f>INDEX(LINEST(LN(AV117:BJ117),SQRT((AV116:BJ116))),1)</f>
        <v>-5.2081684734582153E-3</v>
      </c>
      <c r="AS117" s="49">
        <f>INDEX(LINEST(1/(AV117:BJ117),1/(SQRT(AV116:BJ116)),TRUE,TRUE),3,1)</f>
        <v>0.52526740661356974</v>
      </c>
      <c r="AT117" s="49">
        <f>INDEX(LINEST(1/(AV117:BJ117),1/SQRT(AV116:BJ116)),1)</f>
        <v>-13.171961489125843</v>
      </c>
      <c r="AU117" s="63"/>
      <c r="AV117" s="65">
        <v>2.69</v>
      </c>
      <c r="AW117" s="65">
        <v>2.67</v>
      </c>
      <c r="AX117" s="65">
        <v>2.36</v>
      </c>
      <c r="AY117" s="65">
        <v>1.69</v>
      </c>
      <c r="AZ117" s="65">
        <v>2.23</v>
      </c>
      <c r="BA117" s="65">
        <v>1.79</v>
      </c>
      <c r="BB117" s="65">
        <v>1.84</v>
      </c>
      <c r="BC117" s="65">
        <v>1.91</v>
      </c>
      <c r="BD117" s="65">
        <v>1.52</v>
      </c>
      <c r="BE117" s="65">
        <v>1.48</v>
      </c>
      <c r="BF117" s="65">
        <v>1.18</v>
      </c>
      <c r="BG117" s="65">
        <v>1.31</v>
      </c>
      <c r="BH117" s="65">
        <v>1</v>
      </c>
      <c r="BI117" s="65">
        <v>0.98</v>
      </c>
      <c r="BJ117" s="65">
        <v>0.68</v>
      </c>
      <c r="BK117" s="65"/>
      <c r="BL117" s="61"/>
      <c r="BM117" s="61"/>
      <c r="BN117" s="61"/>
      <c r="BO117" s="61"/>
      <c r="BP117" s="61"/>
      <c r="BQ117" s="61"/>
      <c r="BR117" s="61"/>
      <c r="BS117" s="61"/>
      <c r="BT117" s="61"/>
      <c r="BU117" s="61"/>
      <c r="BV117" s="61"/>
      <c r="BW117" s="61"/>
      <c r="BX117" s="61"/>
      <c r="BY117" s="61"/>
      <c r="BZ117" s="61"/>
      <c r="CA117" s="61"/>
      <c r="CB117" s="61"/>
      <c r="CC117" s="61"/>
      <c r="CD117" s="61"/>
      <c r="CE117" s="61"/>
      <c r="CF117" s="61"/>
      <c r="CG117" s="61"/>
      <c r="CH117" s="61"/>
      <c r="CI117" s="61"/>
      <c r="CJ117" s="61"/>
      <c r="CK117" s="61"/>
      <c r="CL117" s="61"/>
      <c r="CM117" s="61"/>
      <c r="CN117" s="61"/>
      <c r="CO117" s="61"/>
      <c r="CP117" s="61"/>
      <c r="CQ117" s="61"/>
      <c r="CR117" s="59"/>
      <c r="CS117" s="59"/>
      <c r="CT117" s="59"/>
      <c r="CU117" s="59"/>
    </row>
    <row r="118" spans="1:99" s="60" customFormat="1" ht="12" customHeight="1" x14ac:dyDescent="0.2">
      <c r="A118" s="94">
        <v>43509</v>
      </c>
      <c r="B118" s="101"/>
      <c r="C118" s="101"/>
      <c r="D118" s="77"/>
      <c r="E118" s="98"/>
      <c r="F118" s="77"/>
      <c r="G118" s="77"/>
      <c r="H118" s="77"/>
      <c r="I118" s="77"/>
      <c r="J118" s="77"/>
      <c r="K118" s="102"/>
      <c r="L118" s="102"/>
      <c r="M118" s="77"/>
      <c r="N118" s="77"/>
      <c r="O118" s="77"/>
      <c r="P118" s="77"/>
      <c r="Q118" s="77"/>
      <c r="R118" s="77"/>
      <c r="S118" s="77"/>
      <c r="T118" s="96"/>
      <c r="U118" s="32"/>
      <c r="V118" s="77"/>
      <c r="W118" s="77"/>
      <c r="X118" s="77"/>
      <c r="Y118" s="98"/>
      <c r="Z118" s="77"/>
      <c r="AA118" s="77"/>
      <c r="AB118" s="77"/>
      <c r="AC118" s="77"/>
      <c r="AD118" s="77"/>
      <c r="AE118" s="77"/>
      <c r="AF118" s="99"/>
      <c r="AG118" s="100"/>
      <c r="AH118" s="84"/>
      <c r="AI118" s="100"/>
      <c r="AJ118" s="105"/>
      <c r="AK118" s="100"/>
      <c r="AL118" s="100"/>
      <c r="AM118" s="100"/>
      <c r="AN118" s="100"/>
      <c r="AO118" s="100"/>
      <c r="AP118" s="100"/>
      <c r="AQ118" s="100"/>
      <c r="AR118" s="105"/>
      <c r="AS118" s="100"/>
      <c r="AT118" s="100"/>
      <c r="AU118" s="62"/>
      <c r="AV118" s="64">
        <f>3600*0.08</f>
        <v>288</v>
      </c>
      <c r="AW118" s="64">
        <f>3600*0.15</f>
        <v>540</v>
      </c>
      <c r="AX118" s="64">
        <f>3600*0.2</f>
        <v>720</v>
      </c>
      <c r="AY118" s="64">
        <f>3600*0.37</f>
        <v>1332</v>
      </c>
      <c r="AZ118" s="64">
        <f>3600*0.43</f>
        <v>1548</v>
      </c>
      <c r="BA118" s="64">
        <f>3600*0.5</f>
        <v>1800</v>
      </c>
      <c r="BB118" s="64">
        <f>3600*0.57</f>
        <v>2052</v>
      </c>
      <c r="BC118" s="64">
        <f>3600*2</f>
        <v>7200</v>
      </c>
      <c r="BD118" s="64">
        <f>3600*3</f>
        <v>10800</v>
      </c>
      <c r="BE118" s="64">
        <f>3600*4</f>
        <v>14400</v>
      </c>
      <c r="BF118" s="64">
        <f>3600*5</f>
        <v>18000</v>
      </c>
      <c r="BG118" s="64">
        <f>3600*7</f>
        <v>25200</v>
      </c>
      <c r="BH118" s="64">
        <f>3600*10</f>
        <v>36000</v>
      </c>
      <c r="BI118" s="64">
        <f>3600*12</f>
        <v>43200</v>
      </c>
      <c r="BJ118" s="64">
        <f>3600*14</f>
        <v>50400</v>
      </c>
      <c r="BK118" s="65"/>
      <c r="BL118" s="61"/>
      <c r="BM118" s="61"/>
      <c r="BN118" s="61"/>
      <c r="BO118" s="61"/>
      <c r="BP118" s="61"/>
      <c r="BQ118" s="61"/>
      <c r="BR118" s="61"/>
      <c r="BS118" s="61"/>
      <c r="BT118" s="61"/>
      <c r="BU118" s="61"/>
      <c r="BV118" s="61"/>
      <c r="BW118" s="61"/>
      <c r="BX118" s="61"/>
      <c r="BY118" s="61"/>
      <c r="BZ118" s="61"/>
      <c r="CA118" s="61"/>
      <c r="CB118" s="61"/>
      <c r="CC118" s="61"/>
      <c r="CD118" s="61"/>
      <c r="CE118" s="61"/>
      <c r="CF118" s="61"/>
      <c r="CG118" s="61"/>
      <c r="CH118" s="61"/>
      <c r="CI118" s="61"/>
      <c r="CJ118" s="61"/>
      <c r="CK118" s="61"/>
      <c r="CL118" s="61"/>
      <c r="CM118" s="61"/>
      <c r="CN118" s="61"/>
      <c r="CO118" s="61"/>
      <c r="CP118" s="61"/>
      <c r="CQ118" s="61"/>
      <c r="CR118" s="59"/>
      <c r="CS118" s="59"/>
      <c r="CT118" s="59"/>
      <c r="CU118" s="59"/>
    </row>
    <row r="119" spans="1:99" s="60" customFormat="1" ht="12" customHeight="1" x14ac:dyDescent="0.2">
      <c r="A119" s="94">
        <v>43509</v>
      </c>
      <c r="B119" s="101" t="s">
        <v>203</v>
      </c>
      <c r="C119" s="101" t="s">
        <v>204</v>
      </c>
      <c r="D119" s="77">
        <v>1972</v>
      </c>
      <c r="E119" s="98">
        <v>1</v>
      </c>
      <c r="F119" s="77">
        <v>6</v>
      </c>
      <c r="G119" s="77">
        <v>6</v>
      </c>
      <c r="H119" s="77" t="s">
        <v>150</v>
      </c>
      <c r="I119" s="77" t="s">
        <v>210</v>
      </c>
      <c r="J119" s="77" t="s">
        <v>84</v>
      </c>
      <c r="K119" s="77" t="str">
        <f>IF(J119="syllables","1",IF(J119="trigrams","2",IF(J119="strings","3",IF(J119="visual array","4",IF(J119="characters","5",IF(J119="letters","6",IF(J119="free forms","7",IF(J119="odors","8",IF(J119="words","9",IF(J119="pictures","10",IF(J119="object pictures","11",IF(J119="faces","12",IF(J119="names","13",IF(J119="idioms","14",IF(J119="grades","15",IF(J119="syllable-digit pairs","16",IF(J119="trigram-word pairs","17",IF(J119="word-digit pairs","18",IF(J119="English-Swahili pairs","19",IF(J119="spatial position","20",IF(J119="word pairs","21",IF(J119="word triads","22",IF(J119="generated words","23",IF(J119="word definition pairs","24",IF(J119="math problems","25",IF(J119="famous faces","26",IF(J119="famous names","27",IF(J119="famous voices","28",IF(J119="television programs","29",IF(J119="race horses","30",IF(J119="new vocabulary","31",IF(J119="sentences","32",IF(J119="concepts","33",IF(J119="ad slides","34",IF(J119="scenes","35",IF(J119="famous scenes","36",IF(J119="poems","37",IF(J119="walk","38",IF(J119="faces and events","39",IF(J119="events and names","40",IF(J119="flashbulb","41",IF(J119="stories","42",IF(J119="course material","43",IF(J119="autobiographical","44",IF(J119="novels","45",IF(J119="public events","46",IF(J119="order","90","99")))))))))))))))))))))))))))))))))))))))))))))))</f>
        <v>21</v>
      </c>
      <c r="L119" s="77" t="str">
        <f>IF(J119="syllables","1",IF(J119="trigrams","1",IF(J119="strings","1",IF(J119="visual array","1",IF(J119="characters","1",IF(J119="letters","1",IF(J119="free forms","1",IF(J119="odors","2",IF(J119="words","2",IF(J119="pictures","2",IF(J119="object pictures","2",IF(J119="faces","2",IF(J119="names","2",IF(J119="idioms","2",IF(J119="grades","2",IF(J119="syllable-digit pairs","3",IF(J119="trigram-word pairs","3",IF(J119="word-digit pairs","3",IF(J119="English-Swahili pairs","3",IF(J119="spatial position","3",IF(J119="word pairs","4",IF(J119="word triads","4",IF(J119="generated words","4",IF(J119="word definition pairs","4",IF(J119="math problems","4",IF(J119="famous faces","4",IF(J119="famous names","4",IF(J119="famous voices","4",IF(J119="television programs","4",IF(J119="race horses","4",IF(J119="new vocabulary","4",IF(J119="sentences","5",IF(J119="concepts","5",IF(J119="ad slides","5",IF(J119="scenes","5",IF(J119="famous scenes","5",IF(J119="poems","6",IF(J119="walk","6",IF(J119="faces and events","6",IF(J119="events and names","6",IF(J119="flashbulb","7",IF(J119="stories","7",IF(J119="course material","7",IF(J119="autobiographical","7",IF(J119="novels","7",IF(J119="public events","7",IF(J119="order","90","99")))))))))))))))))))))))))))))))))))))))))))))))</f>
        <v>4</v>
      </c>
      <c r="M119" s="77" t="s">
        <v>195</v>
      </c>
      <c r="N119" s="77">
        <v>1</v>
      </c>
      <c r="O119" s="77" t="s">
        <v>195</v>
      </c>
      <c r="P119" s="77"/>
      <c r="Q119" s="77" t="s">
        <v>18</v>
      </c>
      <c r="R119" s="77" t="str">
        <f>IF(Q119="Free Recall","1",IF(Q119="Cued Recall","2",IF(Q119="Recognition","3",IF(Q119="Multiple Choice","4",IF(Q119="Savings","5",IF(Q119="Stem Completion","6",IF(Q119="Fragment Completion","7",IF(Q119="anagram solution","8",IF(Q119="Matching","9",IF(Q119="Problem Solving","10","99"))))))))))</f>
        <v>3</v>
      </c>
      <c r="S119" s="77" t="s">
        <v>196</v>
      </c>
      <c r="T119" s="96" t="s">
        <v>132</v>
      </c>
      <c r="U119" s="32">
        <f>IF(T119="within",1,0)</f>
        <v>1</v>
      </c>
      <c r="V119" s="96">
        <v>400</v>
      </c>
      <c r="W119" s="77">
        <f>F119*V119</f>
        <v>2400</v>
      </c>
      <c r="X119" s="77">
        <v>15</v>
      </c>
      <c r="Y119" s="98">
        <f>AV118</f>
        <v>288</v>
      </c>
      <c r="Z119" s="77" t="s">
        <v>224</v>
      </c>
      <c r="AA119" s="77">
        <v>50400</v>
      </c>
      <c r="AB119" s="77" t="str">
        <f>IF(AA119&lt;60,"1",IF(AA119&lt;=43200,"2",IF(AA119&lt;=777600,"3","4")))</f>
        <v>3</v>
      </c>
      <c r="AC119" s="100">
        <f>AVERAGE(AV118:DA118)</f>
        <v>14232</v>
      </c>
      <c r="AD119" s="77" t="str">
        <f>IF(AC119&lt;60,"1",IF(AC119&lt;=43200,"2",IF(AC119&lt;=777600,"3","4")))</f>
        <v>2</v>
      </c>
      <c r="AE119" s="98">
        <f>AA119-Y119</f>
        <v>50112</v>
      </c>
      <c r="AF119" s="99">
        <f>AV119</f>
        <v>1.93</v>
      </c>
      <c r="AG119" s="100">
        <f>((AW119-AV119)+(AX119-AW119)+(AY119-AX119)+(AZ119-AY119)+(BA119-AZ119)+(BB119-BA119)+(BC119-BB119)+(BD119-BC119)+(BE119-BD119)+(BF119-BE119)+(BG119-BF119)+(BH119-BG119)+(BI119-BH119)+(BJ119-BI119))/14</f>
        <v>-0.10214285714285716</v>
      </c>
      <c r="AH119" s="84"/>
      <c r="AI119" s="100">
        <f>RSQ(AV119:BJ119,AV118:BJ118)</f>
        <v>0.59018533479648949</v>
      </c>
      <c r="AJ119" s="105">
        <f>SLOPE(AV119:BJ119,AV118:BJ118)</f>
        <v>-2.2802485972533146E-5</v>
      </c>
      <c r="AK119" s="100">
        <f>INTERCEPT(AV119:BJ119,AV118:BJ118)</f>
        <v>1.4331916470277586</v>
      </c>
      <c r="AL119" s="100">
        <f>INDEX(LINEST(LN(AV119:BJ119),LN(AV118:BJ118),TRUE,TRUE),3,1)</f>
        <v>0.73215789104781648</v>
      </c>
      <c r="AM119" s="100">
        <f>INDEX(LINEST(LN(AV119:BJ119),LN(AV118:BJ118)),1)</f>
        <v>-0.24023260219154294</v>
      </c>
      <c r="AN119" s="100">
        <f>EXP(INDEX(LINEST(LN(AV119:BJ119),LN(AV118:BJ118)),1,2))</f>
        <v>7.7449504703416361</v>
      </c>
      <c r="AO119" s="104">
        <f>INDEX(LINEST((AV119:BJ119),LN(AV118:BJ118),TRUE,TRUE),3,1)</f>
        <v>0.7468171629793311</v>
      </c>
      <c r="AP119" s="104">
        <f>INDEX(LINEST((AV119:BJ119),LN(AV118:BJ118)),1)</f>
        <v>-0.2512716586094999</v>
      </c>
      <c r="AQ119" s="48">
        <f>INDEX(LINEST(LN(AV119:BJ119),SQRT(AV118:BJ118),TRUE,TRUE),3,1)</f>
        <v>0.75017518426126539</v>
      </c>
      <c r="AR119" s="56">
        <f>INDEX(LINEST(LN(AV119:BJ119),SQRT((AV118:BJ118))),1)</f>
        <v>-5.840509470141822E-3</v>
      </c>
      <c r="AS119" s="49">
        <f>INDEX(LINEST(1/(AV119:BJ119),1/(SQRT(AV118:BJ118)),TRUE,TRUE),3,1)</f>
        <v>0.48724177184458112</v>
      </c>
      <c r="AT119" s="49">
        <f>INDEX(LINEST(1/(AV119:BJ119),1/SQRT(AV118:BJ118)),1)</f>
        <v>-24.237550751996267</v>
      </c>
      <c r="AU119" s="63"/>
      <c r="AV119" s="65">
        <v>1.93</v>
      </c>
      <c r="AW119" s="65">
        <v>1.8</v>
      </c>
      <c r="AX119" s="65">
        <v>1.79</v>
      </c>
      <c r="AY119" s="65">
        <v>1.23</v>
      </c>
      <c r="AZ119" s="65">
        <v>1.65</v>
      </c>
      <c r="BA119" s="65">
        <v>0.77</v>
      </c>
      <c r="BB119" s="65">
        <v>1.1100000000000001</v>
      </c>
      <c r="BC119" s="65">
        <v>0.97</v>
      </c>
      <c r="BD119" s="65">
        <v>1.42</v>
      </c>
      <c r="BE119" s="65">
        <v>0.73</v>
      </c>
      <c r="BF119" s="65">
        <v>0.89</v>
      </c>
      <c r="BG119" s="65">
        <v>0.8</v>
      </c>
      <c r="BH119" s="65">
        <v>0.64</v>
      </c>
      <c r="BI119" s="65">
        <v>0.4</v>
      </c>
      <c r="BJ119" s="65">
        <v>0.5</v>
      </c>
      <c r="BK119" s="65"/>
      <c r="BL119" s="61"/>
      <c r="BM119" s="61"/>
      <c r="BN119" s="61"/>
      <c r="BO119" s="61"/>
      <c r="BP119" s="61"/>
      <c r="BQ119" s="61"/>
      <c r="BR119" s="61"/>
      <c r="BS119" s="61"/>
      <c r="BT119" s="61"/>
      <c r="BU119" s="61"/>
      <c r="BV119" s="61"/>
      <c r="BW119" s="61"/>
      <c r="BX119" s="61"/>
      <c r="BY119" s="61"/>
      <c r="BZ119" s="61"/>
      <c r="CA119" s="61"/>
      <c r="CB119" s="61"/>
      <c r="CC119" s="61"/>
      <c r="CD119" s="61"/>
      <c r="CE119" s="61"/>
      <c r="CF119" s="61"/>
      <c r="CG119" s="61"/>
      <c r="CH119" s="61"/>
      <c r="CI119" s="61"/>
      <c r="CJ119" s="61"/>
      <c r="CK119" s="61"/>
      <c r="CL119" s="61"/>
      <c r="CM119" s="61"/>
      <c r="CN119" s="61"/>
      <c r="CO119" s="61"/>
      <c r="CP119" s="61"/>
      <c r="CQ119" s="61"/>
      <c r="CR119" s="59"/>
      <c r="CS119" s="59"/>
      <c r="CT119" s="59"/>
      <c r="CU119" s="59"/>
    </row>
    <row r="120" spans="1:99" s="60" customFormat="1" ht="12" customHeight="1" x14ac:dyDescent="0.2">
      <c r="A120" s="94">
        <v>43509</v>
      </c>
      <c r="B120" s="101"/>
      <c r="C120" s="101"/>
      <c r="D120" s="77"/>
      <c r="E120" s="98"/>
      <c r="F120" s="77"/>
      <c r="G120" s="77"/>
      <c r="H120" s="77"/>
      <c r="I120" s="77"/>
      <c r="J120" s="77"/>
      <c r="K120" s="102"/>
      <c r="L120" s="102"/>
      <c r="M120" s="77"/>
      <c r="N120" s="77"/>
      <c r="O120" s="77"/>
      <c r="P120" s="77"/>
      <c r="Q120" s="77"/>
      <c r="R120" s="77"/>
      <c r="S120" s="77"/>
      <c r="T120" s="96"/>
      <c r="U120" s="32"/>
      <c r="V120" s="77"/>
      <c r="W120" s="77"/>
      <c r="X120" s="77"/>
      <c r="Y120" s="98"/>
      <c r="Z120" s="77"/>
      <c r="AA120" s="77"/>
      <c r="AB120" s="77"/>
      <c r="AC120" s="77"/>
      <c r="AD120" s="77"/>
      <c r="AE120" s="77"/>
      <c r="AF120" s="99"/>
      <c r="AG120" s="100"/>
      <c r="AH120" s="84"/>
      <c r="AI120" s="100"/>
      <c r="AJ120" s="105"/>
      <c r="AK120" s="100"/>
      <c r="AL120" s="100"/>
      <c r="AM120" s="100"/>
      <c r="AN120" s="100"/>
      <c r="AO120" s="100"/>
      <c r="AP120" s="100"/>
      <c r="AQ120" s="100"/>
      <c r="AR120" s="105"/>
      <c r="AS120" s="100"/>
      <c r="AT120" s="100"/>
      <c r="AU120" s="62"/>
      <c r="AV120" s="64">
        <f>3600*0.08</f>
        <v>288</v>
      </c>
      <c r="AW120" s="64">
        <f>3600*0.15</f>
        <v>540</v>
      </c>
      <c r="AX120" s="64">
        <f>3600*0.2</f>
        <v>720</v>
      </c>
      <c r="AY120" s="64">
        <f>3600*0.37</f>
        <v>1332</v>
      </c>
      <c r="AZ120" s="64">
        <f>3600*0.43</f>
        <v>1548</v>
      </c>
      <c r="BA120" s="64">
        <f>3600*0.5</f>
        <v>1800</v>
      </c>
      <c r="BB120" s="64">
        <f>3600*0.57</f>
        <v>2052</v>
      </c>
      <c r="BC120" s="64">
        <f>3600*2</f>
        <v>7200</v>
      </c>
      <c r="BD120" s="64">
        <f>3600*3</f>
        <v>10800</v>
      </c>
      <c r="BE120" s="64">
        <f>3600*4</f>
        <v>14400</v>
      </c>
      <c r="BF120" s="64">
        <f>3600*5</f>
        <v>18000</v>
      </c>
      <c r="BG120" s="64">
        <f>3600*7</f>
        <v>25200</v>
      </c>
      <c r="BH120" s="64">
        <f>3600*10</f>
        <v>36000</v>
      </c>
      <c r="BI120" s="64">
        <f>3600*12</f>
        <v>43200</v>
      </c>
      <c r="BJ120" s="64">
        <f>3600*14</f>
        <v>50400</v>
      </c>
      <c r="BK120" s="65"/>
      <c r="BL120" s="61"/>
      <c r="BM120" s="61"/>
      <c r="BN120" s="61"/>
      <c r="BO120" s="61"/>
      <c r="BP120" s="61"/>
      <c r="BQ120" s="61"/>
      <c r="BR120" s="61"/>
      <c r="BS120" s="61"/>
      <c r="BT120" s="61"/>
      <c r="BU120" s="61"/>
      <c r="BV120" s="61"/>
      <c r="BW120" s="61"/>
      <c r="BX120" s="61"/>
      <c r="BY120" s="61"/>
      <c r="BZ120" s="61"/>
      <c r="CA120" s="61"/>
      <c r="CB120" s="61"/>
      <c r="CC120" s="61"/>
      <c r="CD120" s="61"/>
      <c r="CE120" s="61"/>
      <c r="CF120" s="61"/>
      <c r="CG120" s="61"/>
      <c r="CH120" s="61"/>
      <c r="CI120" s="61"/>
      <c r="CJ120" s="61"/>
      <c r="CK120" s="61"/>
      <c r="CL120" s="61"/>
      <c r="CM120" s="61"/>
      <c r="CN120" s="61"/>
      <c r="CO120" s="61"/>
      <c r="CP120" s="61"/>
      <c r="CQ120" s="61"/>
      <c r="CR120" s="59"/>
      <c r="CS120" s="59"/>
      <c r="CT120" s="59"/>
      <c r="CU120" s="59"/>
    </row>
    <row r="121" spans="1:99" s="60" customFormat="1" ht="12" customHeight="1" x14ac:dyDescent="0.2">
      <c r="A121" s="94">
        <v>43509</v>
      </c>
      <c r="B121" s="101" t="s">
        <v>203</v>
      </c>
      <c r="C121" s="101" t="s">
        <v>204</v>
      </c>
      <c r="D121" s="77">
        <v>1972</v>
      </c>
      <c r="E121" s="98">
        <v>1</v>
      </c>
      <c r="F121" s="77">
        <v>6</v>
      </c>
      <c r="G121" s="77">
        <v>6</v>
      </c>
      <c r="H121" s="77" t="s">
        <v>150</v>
      </c>
      <c r="I121" s="77" t="s">
        <v>211</v>
      </c>
      <c r="J121" s="77" t="s">
        <v>84</v>
      </c>
      <c r="K121" s="77" t="str">
        <f>IF(J121="syllables","1",IF(J121="trigrams","2",IF(J121="strings","3",IF(J121="visual array","4",IF(J121="characters","5",IF(J121="letters","6",IF(J121="free forms","7",IF(J121="odors","8",IF(J121="words","9",IF(J121="pictures","10",IF(J121="object pictures","11",IF(J121="faces","12",IF(J121="names","13",IF(J121="idioms","14",IF(J121="grades","15",IF(J121="syllable-digit pairs","16",IF(J121="trigram-word pairs","17",IF(J121="word-digit pairs","18",IF(J121="English-Swahili pairs","19",IF(J121="spatial position","20",IF(J121="word pairs","21",IF(J121="word triads","22",IF(J121="generated words","23",IF(J121="word definition pairs","24",IF(J121="math problems","25",IF(J121="famous faces","26",IF(J121="famous names","27",IF(J121="famous voices","28",IF(J121="television programs","29",IF(J121="race horses","30",IF(J121="new vocabulary","31",IF(J121="sentences","32",IF(J121="concepts","33",IF(J121="ad slides","34",IF(J121="scenes","35",IF(J121="famous scenes","36",IF(J121="poems","37",IF(J121="walk","38",IF(J121="faces and events","39",IF(J121="events and names","40",IF(J121="flashbulb","41",IF(J121="stories","42",IF(J121="course material","43",IF(J121="autobiographical","44",IF(J121="novels","45",IF(J121="public events","46",IF(J121="order","90","99")))))))))))))))))))))))))))))))))))))))))))))))</f>
        <v>21</v>
      </c>
      <c r="L121" s="77" t="str">
        <f>IF(J121="syllables","1",IF(J121="trigrams","1",IF(J121="strings","1",IF(J121="visual array","1",IF(J121="characters","1",IF(J121="letters","1",IF(J121="free forms","1",IF(J121="odors","2",IF(J121="words","2",IF(J121="pictures","2",IF(J121="object pictures","2",IF(J121="faces","2",IF(J121="names","2",IF(J121="idioms","2",IF(J121="grades","2",IF(J121="syllable-digit pairs","3",IF(J121="trigram-word pairs","3",IF(J121="word-digit pairs","3",IF(J121="English-Swahili pairs","3",IF(J121="spatial position","3",IF(J121="word pairs","4",IF(J121="word triads","4",IF(J121="generated words","4",IF(J121="word definition pairs","4",IF(J121="math problems","4",IF(J121="famous faces","4",IF(J121="famous names","4",IF(J121="famous voices","4",IF(J121="television programs","4",IF(J121="race horses","4",IF(J121="new vocabulary","4",IF(J121="sentences","5",IF(J121="concepts","5",IF(J121="ad slides","5",IF(J121="scenes","5",IF(J121="famous scenes","5",IF(J121="poems","6",IF(J121="walk","6",IF(J121="faces and events","6",IF(J121="events and names","6",IF(J121="flashbulb","7",IF(J121="stories","7",IF(J121="course material","7",IF(J121="autobiographical","7",IF(J121="novels","7",IF(J121="public events","7",IF(J121="order","90","99")))))))))))))))))))))))))))))))))))))))))))))))</f>
        <v>4</v>
      </c>
      <c r="M121" s="77" t="s">
        <v>195</v>
      </c>
      <c r="N121" s="77">
        <v>1</v>
      </c>
      <c r="O121" s="77" t="s">
        <v>195</v>
      </c>
      <c r="P121" s="77"/>
      <c r="Q121" s="77" t="s">
        <v>18</v>
      </c>
      <c r="R121" s="77" t="str">
        <f>IF(Q121="Free Recall","1",IF(Q121="Cued Recall","2",IF(Q121="Recognition","3",IF(Q121="Multiple Choice","4",IF(Q121="Savings","5",IF(Q121="Stem Completion","6",IF(Q121="Fragment Completion","7",IF(Q121="anagram solution","8",IF(Q121="Matching","9",IF(Q121="Problem Solving","10","99"))))))))))</f>
        <v>3</v>
      </c>
      <c r="S121" s="77" t="s">
        <v>196</v>
      </c>
      <c r="T121" s="96" t="s">
        <v>132</v>
      </c>
      <c r="U121" s="32">
        <f>IF(T121="within",1,0)</f>
        <v>1</v>
      </c>
      <c r="V121" s="96">
        <v>400</v>
      </c>
      <c r="W121" s="77">
        <f>F121*V121</f>
        <v>2400</v>
      </c>
      <c r="X121" s="77">
        <v>15</v>
      </c>
      <c r="Y121" s="98">
        <f>AV120</f>
        <v>288</v>
      </c>
      <c r="Z121" s="77" t="s">
        <v>224</v>
      </c>
      <c r="AA121" s="77">
        <v>50400</v>
      </c>
      <c r="AB121" s="77" t="str">
        <f>IF(AA121&lt;60,"1",IF(AA121&lt;=43200,"2",IF(AA121&lt;=777600,"3","4")))</f>
        <v>3</v>
      </c>
      <c r="AC121" s="100">
        <f>AVERAGE(AV120:DA120)</f>
        <v>14232</v>
      </c>
      <c r="AD121" s="77" t="str">
        <f>IF(AC121&lt;60,"1",IF(AC121&lt;=43200,"2",IF(AC121&lt;=777600,"3","4")))</f>
        <v>2</v>
      </c>
      <c r="AE121" s="98">
        <f>AA121-Y121</f>
        <v>50112</v>
      </c>
      <c r="AF121" s="99">
        <f>AV121</f>
        <v>1.36</v>
      </c>
      <c r="AG121" s="100">
        <f>((AW121-AV121)+(AX121-AW121)+(AY121-AX121)+(AZ121-AY121)+(BA121-AZ121)+(BB121-BA121)+(BC121-BB121)+(BD121-BC121)+(BE121-BD121)+(BF121-BE121)+(BG121-BF121)+(BH121-BG121)+(BI121-BH121)+(BJ121-BI121))/14</f>
        <v>-7.1428571428571438E-2</v>
      </c>
      <c r="AH121" s="84"/>
      <c r="AI121" s="100">
        <f>RSQ(AV121:BJ121,AV120:BJ120)</f>
        <v>0.54979914847551292</v>
      </c>
      <c r="AJ121" s="105">
        <f>SLOPE(AV121:BJ121,AV120:BJ120)</f>
        <v>-1.7450754836211295E-5</v>
      </c>
      <c r="AK121" s="100">
        <f>INTERCEPT(AV121:BJ121,AV120:BJ120)</f>
        <v>1.0623591428289594</v>
      </c>
      <c r="AL121" s="100">
        <f>INDEX(LINEST(LN(AV121:BJ121),LN(AV120:BJ120),TRUE,TRUE),3,1)</f>
        <v>0.8558547980673793</v>
      </c>
      <c r="AM121" s="100">
        <f>INDEX(LINEST(LN(AV121:BJ121),LN(AV120:BJ120)),1)</f>
        <v>-0.25798424290738398</v>
      </c>
      <c r="AN121" s="100">
        <f>EXP(INDEX(LINEST(LN(AV121:BJ121),LN(AV120:BJ120)),1,2))</f>
        <v>6.5867504163979778</v>
      </c>
      <c r="AO121" s="104">
        <f>INDEX(LINEST((AV121:BJ121),LN(AV120:BJ120),TRUE,TRUE),3,1)</f>
        <v>0.80781743045291543</v>
      </c>
      <c r="AP121" s="104">
        <f>INDEX(LINEST((AV121:BJ121),LN(AV120:BJ120)),1)</f>
        <v>-0.20721308030091035</v>
      </c>
      <c r="AQ121" s="48">
        <f>INDEX(LINEST(LN(AV121:BJ121),SQRT(AV120:BJ120),TRUE,TRUE),3,1)</f>
        <v>0.81339099185403663</v>
      </c>
      <c r="AR121" s="56">
        <f>INDEX(LINEST(LN(AV121:BJ121),SQRT((AV120:BJ120))),1)</f>
        <v>-6.0406354799739147E-3</v>
      </c>
      <c r="AS121" s="49">
        <f>INDEX(LINEST(1/(AV121:BJ121),1/(SQRT(AV120:BJ120)),TRUE,TRUE),3,1)</f>
        <v>0.63636280285257862</v>
      </c>
      <c r="AT121" s="49">
        <f>INDEX(LINEST(1/(AV121:BJ121),1/SQRT(AV120:BJ120)),1)</f>
        <v>-34.35961153144298</v>
      </c>
      <c r="AU121" s="63"/>
      <c r="AV121" s="65">
        <v>1.36</v>
      </c>
      <c r="AW121" s="65">
        <v>1.68</v>
      </c>
      <c r="AX121" s="65">
        <v>1.33</v>
      </c>
      <c r="AY121" s="65">
        <v>1.1299999999999999</v>
      </c>
      <c r="AZ121" s="65">
        <v>0.87</v>
      </c>
      <c r="BA121" s="65">
        <v>0.81</v>
      </c>
      <c r="BB121" s="65">
        <v>0.65</v>
      </c>
      <c r="BC121" s="65">
        <v>0.79</v>
      </c>
      <c r="BD121" s="65">
        <v>0.8</v>
      </c>
      <c r="BE121" s="65">
        <v>0.59</v>
      </c>
      <c r="BF121" s="65">
        <v>0.49</v>
      </c>
      <c r="BG121" s="65">
        <v>0.54</v>
      </c>
      <c r="BH121" s="65">
        <v>0.35</v>
      </c>
      <c r="BI121" s="65">
        <v>0.46</v>
      </c>
      <c r="BJ121" s="65">
        <v>0.36</v>
      </c>
      <c r="BK121" s="65"/>
      <c r="BL121" s="61"/>
      <c r="BM121" s="61"/>
      <c r="BN121" s="61"/>
      <c r="BO121" s="61"/>
      <c r="BP121" s="61"/>
      <c r="BQ121" s="61"/>
      <c r="BR121" s="61"/>
      <c r="BS121" s="61"/>
      <c r="BT121" s="61"/>
      <c r="BU121" s="61"/>
      <c r="BV121" s="61"/>
      <c r="BW121" s="61"/>
      <c r="BX121" s="61"/>
      <c r="BY121" s="61"/>
      <c r="BZ121" s="61"/>
      <c r="CA121" s="61"/>
      <c r="CB121" s="61"/>
      <c r="CC121" s="61"/>
      <c r="CD121" s="61"/>
      <c r="CE121" s="61"/>
      <c r="CF121" s="61"/>
      <c r="CG121" s="61"/>
      <c r="CH121" s="61"/>
      <c r="CI121" s="61"/>
      <c r="CJ121" s="61"/>
      <c r="CK121" s="61"/>
      <c r="CL121" s="61"/>
      <c r="CM121" s="61"/>
      <c r="CN121" s="61"/>
      <c r="CO121" s="61"/>
      <c r="CP121" s="61"/>
      <c r="CQ121" s="61"/>
      <c r="CR121" s="59"/>
      <c r="CS121" s="59"/>
      <c r="CT121" s="59"/>
      <c r="CU121" s="59"/>
    </row>
    <row r="122" spans="1:99" s="60" customFormat="1" ht="12" customHeight="1" x14ac:dyDescent="0.2">
      <c r="A122" s="94">
        <v>43509</v>
      </c>
      <c r="B122" s="101"/>
      <c r="C122" s="101"/>
      <c r="D122" s="77"/>
      <c r="E122" s="98"/>
      <c r="F122" s="77"/>
      <c r="G122" s="77"/>
      <c r="H122" s="77"/>
      <c r="I122" s="77"/>
      <c r="J122" s="77"/>
      <c r="K122" s="102"/>
      <c r="L122" s="102"/>
      <c r="M122" s="77"/>
      <c r="N122" s="77"/>
      <c r="O122" s="77"/>
      <c r="P122" s="77"/>
      <c r="Q122" s="77"/>
      <c r="R122" s="77"/>
      <c r="S122" s="77"/>
      <c r="T122" s="96"/>
      <c r="U122" s="32"/>
      <c r="V122" s="77"/>
      <c r="W122" s="77"/>
      <c r="X122" s="77"/>
      <c r="Y122" s="98"/>
      <c r="Z122" s="77"/>
      <c r="AA122" s="77"/>
      <c r="AB122" s="77"/>
      <c r="AC122" s="77"/>
      <c r="AD122" s="77"/>
      <c r="AE122" s="77"/>
      <c r="AF122" s="99"/>
      <c r="AG122" s="100"/>
      <c r="AH122" s="84"/>
      <c r="AI122" s="100"/>
      <c r="AJ122" s="105"/>
      <c r="AK122" s="100"/>
      <c r="AL122" s="100"/>
      <c r="AM122" s="100"/>
      <c r="AN122" s="100"/>
      <c r="AO122" s="100"/>
      <c r="AP122" s="100"/>
      <c r="AQ122" s="100"/>
      <c r="AR122" s="105"/>
      <c r="AS122" s="100"/>
      <c r="AT122" s="100"/>
      <c r="AU122" s="62"/>
      <c r="AV122" s="64">
        <f>10*7*24*60*60</f>
        <v>6048000</v>
      </c>
      <c r="AW122" s="64">
        <f>16*7*24*60*60</f>
        <v>9676800</v>
      </c>
      <c r="AX122" s="64">
        <f>31*7*24*60*60</f>
        <v>18748800</v>
      </c>
      <c r="AY122" s="64">
        <f>58*7*24*60*60</f>
        <v>35078400</v>
      </c>
      <c r="AZ122" s="64">
        <f>110*7*24*60*60</f>
        <v>66528000</v>
      </c>
      <c r="BA122" s="65"/>
      <c r="BB122" s="65"/>
      <c r="BC122" s="65"/>
      <c r="BD122" s="65"/>
      <c r="BE122" s="65"/>
      <c r="BF122" s="65"/>
      <c r="BG122" s="65"/>
      <c r="BH122" s="65"/>
      <c r="BI122" s="65"/>
      <c r="BJ122" s="65"/>
      <c r="BK122" s="65"/>
      <c r="BL122" s="61"/>
      <c r="BM122" s="61"/>
      <c r="BN122" s="61"/>
      <c r="BO122" s="61"/>
      <c r="BP122" s="61"/>
      <c r="BQ122" s="61"/>
      <c r="BR122" s="61"/>
      <c r="BS122" s="61"/>
      <c r="BT122" s="61"/>
      <c r="BU122" s="61"/>
      <c r="BV122" s="61"/>
      <c r="BW122" s="61"/>
      <c r="BX122" s="61"/>
      <c r="BY122" s="61"/>
      <c r="BZ122" s="61"/>
      <c r="CA122" s="61"/>
      <c r="CB122" s="61"/>
      <c r="CC122" s="61"/>
      <c r="CD122" s="61"/>
      <c r="CE122" s="61"/>
      <c r="CF122" s="61"/>
      <c r="CG122" s="61"/>
      <c r="CH122" s="61"/>
      <c r="CI122" s="61"/>
      <c r="CJ122" s="61"/>
      <c r="CK122" s="61"/>
      <c r="CL122" s="61"/>
      <c r="CM122" s="61"/>
      <c r="CN122" s="61"/>
      <c r="CO122" s="61"/>
      <c r="CP122" s="61"/>
      <c r="CQ122" s="61"/>
      <c r="CR122" s="59"/>
      <c r="CS122" s="59"/>
      <c r="CT122" s="59"/>
      <c r="CU122" s="59"/>
    </row>
    <row r="123" spans="1:99" s="60" customFormat="1" ht="12" customHeight="1" x14ac:dyDescent="0.2">
      <c r="A123" s="94">
        <v>43509</v>
      </c>
      <c r="B123" s="101" t="s">
        <v>225</v>
      </c>
      <c r="C123" s="101" t="s">
        <v>204</v>
      </c>
      <c r="D123" s="77">
        <v>1972</v>
      </c>
      <c r="E123" s="98">
        <v>1</v>
      </c>
      <c r="F123" s="77">
        <v>4</v>
      </c>
      <c r="G123" s="77">
        <v>4</v>
      </c>
      <c r="H123" s="77" t="s">
        <v>90</v>
      </c>
      <c r="I123" s="77" t="s">
        <v>209</v>
      </c>
      <c r="J123" s="77" t="s">
        <v>226</v>
      </c>
      <c r="K123" s="77" t="str">
        <f>IF(J123="syllables","1",IF(J123="trigrams","2",IF(J123="strings","3",IF(J123="visual array","4",IF(J123="characters","5",IF(J123="letters","6",IF(J123="free forms","7",IF(J123="odors","8",IF(J123="words","9",IF(J123="pictures","10",IF(J123="object pictures","11",IF(J123="faces","12",IF(J123="names","13",IF(J123="idioms","14",IF(J123="grades","15",IF(J123="syllable-digit pairs","16",IF(J123="trigram-word pairs","17",IF(J123="word-digit pairs","18",IF(J123="English-Swahili pairs","19",IF(J123="spatial position","20",IF(J123="word pairs","21",IF(J123="word triads","22",IF(J123="generated words","23",IF(J123="word definition pairs","24",IF(J123="math problems","25",IF(J123="famous faces","26",IF(J123="famous names","27",IF(J123="famous voices","28",IF(J123="television programs","29",IF(J123="race horses","30",IF(J123="new vocabulary","31",IF(J123="sentences","32",IF(J123="concepts","33",IF(J123="ad slides","34",IF(J123="scenes","35",IF(J123="famous scenes","36",IF(J123="poems","37",IF(J123="walk","38",IF(J123="faces and events","39",IF(J123="events and names","40",IF(J123="flashbulb","41",IF(J123="stories","42",IF(J123="course material","43",IF(J123="autobiographical","44",IF(J123="novels","45",IF(J123="public events","46",IF(J123="order","90","99")))))))))))))))))))))))))))))))))))))))))))))))</f>
        <v>99</v>
      </c>
      <c r="L123" s="77" t="str">
        <f>IF(J123="syllables","1",IF(J123="trigrams","1",IF(J123="strings","1",IF(J123="visual array","1",IF(J123="characters","1",IF(J123="letters","1",IF(J123="free forms","1",IF(J123="odors","2",IF(J123="words","2",IF(J123="pictures","2",IF(J123="object pictures","2",IF(J123="faces","2",IF(J123="names","2",IF(J123="idioms","2",IF(J123="grades","2",IF(J123="syllable-digit pairs","3",IF(J123="trigram-word pairs","3",IF(J123="word-digit pairs","3",IF(J123="English-Swahili pairs","3",IF(J123="spatial position","3",IF(J123="word pairs","4",IF(J123="word triads","4",IF(J123="generated words","4",IF(J123="word definition pairs","4",IF(J123="math problems","4",IF(J123="famous faces","4",IF(J123="famous names","4",IF(J123="famous voices","4",IF(J123="television programs","4",IF(J123="race horses","4",IF(J123="new vocabulary","4",IF(J123="sentences","5",IF(J123="concepts","5",IF(J123="ad slides","5",IF(J123="scenes","5",IF(J123="famous scenes","5",IF(J123="poems","6",IF(J123="walk","6",IF(J123="faces and events","6",IF(J123="events and names","6",IF(J123="flashbulb","7",IF(J123="stories","7",IF(J123="course material","7",IF(J123="autobiographical","7",IF(J123="novels","7",IF(J123="public events","7",IF(J123="order","90","99")))))))))))))))))))))))))))))))))))))))))))))))</f>
        <v>99</v>
      </c>
      <c r="M123" s="77" t="s">
        <v>213</v>
      </c>
      <c r="N123" s="77">
        <v>3</v>
      </c>
      <c r="O123" s="77" t="s">
        <v>195</v>
      </c>
      <c r="P123" s="77"/>
      <c r="Q123" s="77" t="s">
        <v>18</v>
      </c>
      <c r="R123" s="77" t="str">
        <f>IF(Q123="Free Recall","1",IF(Q123="Cued Recall","2",IF(Q123="Recognition","3",IF(Q123="Multiple Choice","4",IF(Q123="Savings","5",IF(Q123="Stem Completion","6",IF(Q123="Fragment Completion","7",IF(Q123="anagram solution","8",IF(Q123="Matching","9",IF(Q123="Problem Solving","10","99"))))))))))</f>
        <v>3</v>
      </c>
      <c r="S123" s="77" t="s">
        <v>196</v>
      </c>
      <c r="T123" s="96" t="s">
        <v>132</v>
      </c>
      <c r="U123" s="32">
        <f>IF(T123="within",1,0)</f>
        <v>1</v>
      </c>
      <c r="V123" s="96">
        <v>240</v>
      </c>
      <c r="W123" s="77">
        <f>F123*V123</f>
        <v>960</v>
      </c>
      <c r="X123" s="77">
        <v>5</v>
      </c>
      <c r="Y123" s="98">
        <f>AV122</f>
        <v>6048000</v>
      </c>
      <c r="Z123" s="77" t="s">
        <v>227</v>
      </c>
      <c r="AA123" s="98">
        <f>110*7*24*60*60</f>
        <v>66528000</v>
      </c>
      <c r="AB123" s="77" t="str">
        <f>IF(AA123&lt;60,"1",IF(AA123&lt;=43200,"2",IF(AA123&lt;=777600,"3","4")))</f>
        <v>4</v>
      </c>
      <c r="AC123" s="100">
        <f>AVERAGE(AV122:DA122)</f>
        <v>27216000</v>
      </c>
      <c r="AD123" s="77" t="str">
        <f>IF(AC123&lt;60,"1",IF(AC123&lt;=43200,"2",IF(AC123&lt;=777600,"3","4")))</f>
        <v>4</v>
      </c>
      <c r="AE123" s="98">
        <f>AA123-Y123</f>
        <v>60480000</v>
      </c>
      <c r="AF123" s="99">
        <f>AV123</f>
        <v>2.86</v>
      </c>
      <c r="AG123" s="100">
        <f>((AW123-AV123)+(AX123-AW123)+(AY123-AX123)+(AZ123-AY123))/4</f>
        <v>-0.38999999999999996</v>
      </c>
      <c r="AH123" s="84"/>
      <c r="AI123" s="100">
        <f>RSQ(AV123:AZ123,AV122:AZ122)</f>
        <v>0.8422780001894512</v>
      </c>
      <c r="AJ123" s="105">
        <f>SLOPE(AV123:AZ123,AV122:AZ122)</f>
        <v>-2.3740862363909239E-8</v>
      </c>
      <c r="AK123" s="100">
        <f>INTERCEPT(AV123:AZ123,AV122:AZ122)</f>
        <v>2.7161313100961539</v>
      </c>
      <c r="AL123" s="100">
        <f>INDEX(LINEST(LN(AV123:AZ123),LN(AV122:AZ122),TRUE,TRUE),3,1)</f>
        <v>0.99428771160653739</v>
      </c>
      <c r="AM123" s="100">
        <f>INDEX(LINEST(LN(AV123:AZ123),LN(AV122:AZ122)),1)</f>
        <v>-0.33027216480459509</v>
      </c>
      <c r="AN123" s="100">
        <f>EXP(INDEX(LINEST(LN(AV123:AZ123),LN(AV122:AZ122)),1,2))</f>
        <v>505.40325802479964</v>
      </c>
      <c r="AO123" s="104">
        <f>INDEX(LINEST((AV123:AZ123),LN(AV122:AZ122),TRUE,TRUE),3,1)</f>
        <v>0.98743533185117904</v>
      </c>
      <c r="AP123" s="104">
        <f>INDEX(LINEST((AV123:AZ123),LN(AV122:AZ122)),1)</f>
        <v>-0.65832389951772197</v>
      </c>
      <c r="AQ123" s="48">
        <f>INDEX(LINEST(LN(AV123:AZ123),SQRT(AV122:AZ122),TRUE,TRUE),3,1)</f>
        <v>0.97511664300773282</v>
      </c>
      <c r="AR123" s="56">
        <f>INDEX(LINEST(LN(AV123:AZ123),SQRT((AV122:AZ122))),1)</f>
        <v>-1.372503446023504E-4</v>
      </c>
      <c r="AS123" s="49">
        <f>INDEX(LINEST(1/(AV123:AZ123),1/(SQRT(AV122:AZ122)),TRUE,TRUE),3,1)</f>
        <v>0.90583365072669764</v>
      </c>
      <c r="AT123" s="49">
        <f>INDEX(LINEST(1/(AV123:AZ123),1/SQRT(AV122:AZ122)),1)</f>
        <v>-1398.9208829100799</v>
      </c>
      <c r="AU123" s="63"/>
      <c r="AV123" s="65">
        <v>2.86</v>
      </c>
      <c r="AW123" s="65">
        <v>2.56</v>
      </c>
      <c r="AX123" s="65">
        <v>1.96</v>
      </c>
      <c r="AY123" s="65">
        <v>1.67</v>
      </c>
      <c r="AZ123" s="65">
        <v>1.3</v>
      </c>
      <c r="BA123" s="65"/>
      <c r="BB123" s="65"/>
      <c r="BC123" s="65"/>
      <c r="BD123" s="65"/>
      <c r="BE123" s="65"/>
      <c r="BF123" s="65"/>
      <c r="BG123" s="65"/>
      <c r="BH123" s="65"/>
      <c r="BI123" s="65"/>
      <c r="BJ123" s="65"/>
      <c r="BK123" s="65"/>
      <c r="BL123" s="61"/>
      <c r="BM123" s="61"/>
      <c r="BN123" s="61"/>
      <c r="BO123" s="61"/>
      <c r="BP123" s="61"/>
      <c r="BQ123" s="61"/>
      <c r="BR123" s="61"/>
      <c r="BS123" s="61"/>
      <c r="BT123" s="61"/>
      <c r="BU123" s="61"/>
      <c r="BV123" s="61"/>
      <c r="BW123" s="61"/>
      <c r="BX123" s="61"/>
      <c r="BY123" s="61"/>
      <c r="BZ123" s="61"/>
      <c r="CA123" s="61"/>
      <c r="CB123" s="61"/>
      <c r="CC123" s="61"/>
      <c r="CD123" s="61"/>
      <c r="CE123" s="61"/>
      <c r="CF123" s="61"/>
      <c r="CG123" s="61"/>
      <c r="CH123" s="61"/>
      <c r="CI123" s="61"/>
      <c r="CJ123" s="61"/>
      <c r="CK123" s="61"/>
      <c r="CL123" s="61"/>
      <c r="CM123" s="61"/>
      <c r="CN123" s="61"/>
      <c r="CO123" s="61"/>
      <c r="CP123" s="61"/>
      <c r="CQ123" s="61"/>
      <c r="CR123" s="59"/>
      <c r="CS123" s="59"/>
      <c r="CT123" s="59"/>
      <c r="CU123" s="59"/>
    </row>
    <row r="124" spans="1:99" s="60" customFormat="1" ht="12" customHeight="1" x14ac:dyDescent="0.2">
      <c r="A124" s="94">
        <v>43509</v>
      </c>
      <c r="B124" s="101"/>
      <c r="C124" s="101"/>
      <c r="D124" s="77"/>
      <c r="E124" s="98"/>
      <c r="F124" s="77"/>
      <c r="G124" s="77"/>
      <c r="H124" s="77"/>
      <c r="I124" s="77"/>
      <c r="J124" s="77"/>
      <c r="K124" s="102"/>
      <c r="L124" s="102"/>
      <c r="M124" s="77"/>
      <c r="N124" s="77"/>
      <c r="O124" s="77"/>
      <c r="P124" s="77"/>
      <c r="Q124" s="77"/>
      <c r="R124" s="77"/>
      <c r="S124" s="77"/>
      <c r="T124" s="96"/>
      <c r="U124" s="32"/>
      <c r="V124" s="77"/>
      <c r="W124" s="77"/>
      <c r="X124" s="77"/>
      <c r="Y124" s="98"/>
      <c r="Z124" s="77"/>
      <c r="AA124" s="77"/>
      <c r="AB124" s="77"/>
      <c r="AC124" s="77"/>
      <c r="AD124" s="77"/>
      <c r="AE124" s="77"/>
      <c r="AF124" s="99"/>
      <c r="AG124" s="100"/>
      <c r="AH124" s="84"/>
      <c r="AI124" s="100"/>
      <c r="AJ124" s="105"/>
      <c r="AK124" s="100"/>
      <c r="AL124" s="100"/>
      <c r="AM124" s="100"/>
      <c r="AN124" s="100"/>
      <c r="AO124" s="100"/>
      <c r="AP124" s="100"/>
      <c r="AQ124" s="100"/>
      <c r="AR124" s="105"/>
      <c r="AS124" s="100"/>
      <c r="AT124" s="100"/>
      <c r="AU124" s="62"/>
      <c r="AV124" s="64">
        <f>10*7*24*60*60</f>
        <v>6048000</v>
      </c>
      <c r="AW124" s="64">
        <f>16*7*24*60*60</f>
        <v>9676800</v>
      </c>
      <c r="AX124" s="64">
        <f>31*7*24*60*60</f>
        <v>18748800</v>
      </c>
      <c r="AY124" s="64">
        <f>58*7*24*60*60</f>
        <v>35078400</v>
      </c>
      <c r="AZ124" s="64">
        <f>110*7*24*60*60</f>
        <v>66528000</v>
      </c>
      <c r="BA124" s="65"/>
      <c r="BB124" s="65"/>
      <c r="BC124" s="65"/>
      <c r="BD124" s="65"/>
      <c r="BE124" s="65"/>
      <c r="BF124" s="65"/>
      <c r="BG124" s="65"/>
      <c r="BH124" s="65"/>
      <c r="BI124" s="65"/>
      <c r="BJ124" s="65"/>
      <c r="BK124" s="65"/>
      <c r="BL124" s="61"/>
      <c r="BM124" s="61"/>
      <c r="BN124" s="61"/>
      <c r="BO124" s="61"/>
      <c r="BP124" s="61"/>
      <c r="BQ124" s="61"/>
      <c r="BR124" s="61"/>
      <c r="BS124" s="61"/>
      <c r="BT124" s="61"/>
      <c r="BU124" s="61"/>
      <c r="BV124" s="61"/>
      <c r="BW124" s="61"/>
      <c r="BX124" s="61"/>
      <c r="BY124" s="61"/>
      <c r="BZ124" s="61"/>
      <c r="CA124" s="61"/>
      <c r="CB124" s="61"/>
      <c r="CC124" s="61"/>
      <c r="CD124" s="61"/>
      <c r="CE124" s="61"/>
      <c r="CF124" s="61"/>
      <c r="CG124" s="61"/>
      <c r="CH124" s="61"/>
      <c r="CI124" s="61"/>
      <c r="CJ124" s="61"/>
      <c r="CK124" s="61"/>
      <c r="CL124" s="61"/>
      <c r="CM124" s="61"/>
      <c r="CN124" s="61"/>
      <c r="CO124" s="61"/>
      <c r="CP124" s="61"/>
      <c r="CQ124" s="61"/>
      <c r="CR124" s="59"/>
      <c r="CS124" s="59"/>
      <c r="CT124" s="59"/>
      <c r="CU124" s="59"/>
    </row>
    <row r="125" spans="1:99" s="60" customFormat="1" ht="12" customHeight="1" x14ac:dyDescent="0.2">
      <c r="A125" s="94">
        <v>43509</v>
      </c>
      <c r="B125" s="101" t="s">
        <v>225</v>
      </c>
      <c r="C125" s="101" t="s">
        <v>204</v>
      </c>
      <c r="D125" s="77">
        <v>1972</v>
      </c>
      <c r="E125" s="98">
        <v>1</v>
      </c>
      <c r="F125" s="77">
        <v>4</v>
      </c>
      <c r="G125" s="77">
        <v>4</v>
      </c>
      <c r="H125" s="77" t="s">
        <v>90</v>
      </c>
      <c r="I125" s="77" t="s">
        <v>211</v>
      </c>
      <c r="J125" s="77" t="s">
        <v>226</v>
      </c>
      <c r="K125" s="77" t="str">
        <f>IF(J125="syllables","1",IF(J125="trigrams","2",IF(J125="strings","3",IF(J125="visual array","4",IF(J125="characters","5",IF(J125="letters","6",IF(J125="free forms","7",IF(J125="odors","8",IF(J125="words","9",IF(J125="pictures","10",IF(J125="object pictures","11",IF(J125="faces","12",IF(J125="names","13",IF(J125="idioms","14",IF(J125="grades","15",IF(J125="syllable-digit pairs","16",IF(J125="trigram-word pairs","17",IF(J125="word-digit pairs","18",IF(J125="English-Swahili pairs","19",IF(J125="spatial position","20",IF(J125="word pairs","21",IF(J125="word triads","22",IF(J125="generated words","23",IF(J125="word definition pairs","24",IF(J125="math problems","25",IF(J125="famous faces","26",IF(J125="famous names","27",IF(J125="famous voices","28",IF(J125="television programs","29",IF(J125="race horses","30",IF(J125="new vocabulary","31",IF(J125="sentences","32",IF(J125="concepts","33",IF(J125="ad slides","34",IF(J125="scenes","35",IF(J125="famous scenes","36",IF(J125="poems","37",IF(J125="walk","38",IF(J125="faces and events","39",IF(J125="events and names","40",IF(J125="flashbulb","41",IF(J125="stories","42",IF(J125="course material","43",IF(J125="autobiographical","44",IF(J125="novels","45",IF(J125="public events","46",IF(J125="order","90","99")))))))))))))))))))))))))))))))))))))))))))))))</f>
        <v>99</v>
      </c>
      <c r="L125" s="77" t="str">
        <f>IF(J125="syllables","1",IF(J125="trigrams","1",IF(J125="strings","1",IF(J125="visual array","1",IF(J125="characters","1",IF(J125="letters","1",IF(J125="free forms","1",IF(J125="odors","2",IF(J125="words","2",IF(J125="pictures","2",IF(J125="object pictures","2",IF(J125="faces","2",IF(J125="names","2",IF(J125="idioms","2",IF(J125="grades","2",IF(J125="syllable-digit pairs","3",IF(J125="trigram-word pairs","3",IF(J125="word-digit pairs","3",IF(J125="English-Swahili pairs","3",IF(J125="spatial position","3",IF(J125="word pairs","4",IF(J125="word triads","4",IF(J125="generated words","4",IF(J125="word definition pairs","4",IF(J125="math problems","4",IF(J125="famous faces","4",IF(J125="famous names","4",IF(J125="famous voices","4",IF(J125="television programs","4",IF(J125="race horses","4",IF(J125="new vocabulary","4",IF(J125="sentences","5",IF(J125="concepts","5",IF(J125="ad slides","5",IF(J125="scenes","5",IF(J125="famous scenes","5",IF(J125="poems","6",IF(J125="walk","6",IF(J125="faces and events","6",IF(J125="events and names","6",IF(J125="flashbulb","7",IF(J125="stories","7",IF(J125="course material","7",IF(J125="autobiographical","7",IF(J125="novels","7",IF(J125="public events","7",IF(J125="order","90","99")))))))))))))))))))))))))))))))))))))))))))))))</f>
        <v>99</v>
      </c>
      <c r="M125" s="77" t="s">
        <v>213</v>
      </c>
      <c r="N125" s="77">
        <v>3</v>
      </c>
      <c r="O125" s="77" t="s">
        <v>195</v>
      </c>
      <c r="P125" s="77"/>
      <c r="Q125" s="77" t="s">
        <v>18</v>
      </c>
      <c r="R125" s="77" t="str">
        <f>IF(Q125="Free Recall","1",IF(Q125="Cued Recall","2",IF(Q125="Recognition","3",IF(Q125="Multiple Choice","4",IF(Q125="Savings","5",IF(Q125="Stem Completion","6",IF(Q125="Fragment Completion","7",IF(Q125="anagram solution","8",IF(Q125="Matching","9",IF(Q125="Problem Solving","10","99"))))))))))</f>
        <v>3</v>
      </c>
      <c r="S125" s="77" t="s">
        <v>196</v>
      </c>
      <c r="T125" s="96" t="s">
        <v>132</v>
      </c>
      <c r="U125" s="32">
        <f>IF(T125="within",1,0)</f>
        <v>1</v>
      </c>
      <c r="V125" s="96">
        <v>240</v>
      </c>
      <c r="W125" s="77">
        <f>F125*V125</f>
        <v>960</v>
      </c>
      <c r="X125" s="77">
        <v>5</v>
      </c>
      <c r="Y125" s="98">
        <f>AV124</f>
        <v>6048000</v>
      </c>
      <c r="Z125" s="77" t="s">
        <v>227</v>
      </c>
      <c r="AA125" s="98">
        <f>110*7*24*60*60</f>
        <v>66528000</v>
      </c>
      <c r="AB125" s="77" t="str">
        <f>IF(AA125&lt;60,"1",IF(AA125&lt;=43200,"2",IF(AA125&lt;=777600,"3","4")))</f>
        <v>4</v>
      </c>
      <c r="AC125" s="100">
        <f>AVERAGE(AV124:DA124)</f>
        <v>27216000</v>
      </c>
      <c r="AD125" s="77" t="str">
        <f>IF(AC125&lt;60,"1",IF(AC125&lt;=43200,"2",IF(AC125&lt;=777600,"3","4")))</f>
        <v>4</v>
      </c>
      <c r="AE125" s="98">
        <f>AA125-Y125</f>
        <v>60480000</v>
      </c>
      <c r="AF125" s="99">
        <f>AV125</f>
        <v>1.03</v>
      </c>
      <c r="AG125" s="100">
        <f>((AW125-AV125)+(AX125-AW125)+(AY125-AX125)+(AZ125-AY125))/4</f>
        <v>-0.10250000000000001</v>
      </c>
      <c r="AH125" s="84"/>
      <c r="AI125" s="100">
        <f>RSQ(AV125:AZ125,AV124:AZ124)</f>
        <v>0.70753327836023083</v>
      </c>
      <c r="AJ125" s="105">
        <f>SLOPE(AV125:AZ125,AV124:AZ124)</f>
        <v>-6.1606506919006917E-9</v>
      </c>
      <c r="AK125" s="100">
        <f>INTERCEPT(AV125:AZ125,AV124:AZ124)</f>
        <v>0.9576682692307692</v>
      </c>
      <c r="AL125" s="100">
        <f>INDEX(LINEST(LN(AV125:AZ125),LN(AV124:AZ124),TRUE,TRUE),3,1)</f>
        <v>0.88939117315288863</v>
      </c>
      <c r="AM125" s="100">
        <f>INDEX(LINEST(LN(AV125:AZ125),LN(AV124:AZ124)),1)</f>
        <v>-0.22657487568664167</v>
      </c>
      <c r="AN125" s="100">
        <f>EXP(INDEX(LINEST(LN(AV125:AZ125),LN(AV124:AZ124)),1,2))</f>
        <v>34.533411804716984</v>
      </c>
      <c r="AO125" s="104">
        <f>INDEX(LINEST((AV125:AZ125),LN(AV124:AZ124),TRUE,TRUE),3,1)</f>
        <v>0.89522513284079741</v>
      </c>
      <c r="AP125" s="104">
        <f>INDEX(LINEST((AV125:AZ125),LN(AV124:AZ124)),1)</f>
        <v>-0.17747443868928706</v>
      </c>
      <c r="AQ125" s="48">
        <f>INDEX(LINEST(LN(AV125:AZ125),SQRT(AV124:AZ124),TRUE,TRUE),3,1)</f>
        <v>0.82450611702499044</v>
      </c>
      <c r="AR125" s="56">
        <f>INDEX(LINEST(LN(AV125:AZ125),SQRT((AV124:AZ124))),1)</f>
        <v>-9.154434168646294E-5</v>
      </c>
      <c r="AS125" s="49">
        <f>INDEX(LINEST(1/(AV125:AZ125),1/(SQRT(AV124:AZ124)),TRUE,TRUE),3,1)</f>
        <v>0.86596372839355162</v>
      </c>
      <c r="AT125" s="49">
        <f>INDEX(LINEST(1/(AV125:AZ125),1/SQRT(AV124:AZ124)),1)</f>
        <v>-2463.6838683717115</v>
      </c>
      <c r="AU125" s="63"/>
      <c r="AV125" s="65">
        <v>1.03</v>
      </c>
      <c r="AW125" s="65">
        <v>0.87</v>
      </c>
      <c r="AX125" s="65">
        <v>0.83</v>
      </c>
      <c r="AY125" s="65">
        <v>0.6</v>
      </c>
      <c r="AZ125" s="65">
        <v>0.62</v>
      </c>
      <c r="BA125" s="65"/>
      <c r="BB125" s="65"/>
      <c r="BC125" s="65"/>
      <c r="BD125" s="65"/>
      <c r="BE125" s="65"/>
      <c r="BF125" s="65"/>
      <c r="BG125" s="65"/>
      <c r="BH125" s="65"/>
      <c r="BI125" s="65"/>
      <c r="BJ125" s="65"/>
      <c r="BK125" s="65"/>
      <c r="BL125" s="61"/>
      <c r="BM125" s="61"/>
      <c r="BN125" s="61"/>
      <c r="BO125" s="61"/>
      <c r="BP125" s="61"/>
      <c r="BQ125" s="61"/>
      <c r="BR125" s="61"/>
      <c r="BS125" s="61"/>
      <c r="BT125" s="61"/>
      <c r="BU125" s="61"/>
      <c r="BV125" s="61"/>
      <c r="BW125" s="61"/>
      <c r="BX125" s="61"/>
      <c r="BY125" s="61"/>
      <c r="BZ125" s="61"/>
      <c r="CA125" s="61"/>
      <c r="CB125" s="61"/>
      <c r="CC125" s="61"/>
      <c r="CD125" s="61"/>
      <c r="CE125" s="61"/>
      <c r="CF125" s="61"/>
      <c r="CG125" s="61"/>
      <c r="CH125" s="61"/>
      <c r="CI125" s="61"/>
      <c r="CJ125" s="61"/>
      <c r="CK125" s="61"/>
      <c r="CL125" s="61"/>
      <c r="CM125" s="61"/>
      <c r="CN125" s="61"/>
      <c r="CO125" s="61"/>
      <c r="CP125" s="61"/>
      <c r="CQ125" s="61"/>
      <c r="CR125" s="59"/>
      <c r="CS125" s="59"/>
      <c r="CT125" s="59"/>
      <c r="CU125" s="59"/>
    </row>
    <row r="126" spans="1:99" s="60" customFormat="1" ht="12" customHeight="1" x14ac:dyDescent="0.2">
      <c r="A126" s="94">
        <v>43509</v>
      </c>
      <c r="B126" s="101"/>
      <c r="C126" s="101"/>
      <c r="D126" s="77"/>
      <c r="E126" s="98"/>
      <c r="F126" s="77"/>
      <c r="G126" s="77"/>
      <c r="H126" s="77"/>
      <c r="I126" s="77"/>
      <c r="J126" s="77"/>
      <c r="K126" s="102"/>
      <c r="L126" s="102"/>
      <c r="M126" s="77"/>
      <c r="N126" s="77"/>
      <c r="O126" s="77"/>
      <c r="P126" s="77"/>
      <c r="Q126" s="77"/>
      <c r="R126" s="77"/>
      <c r="S126" s="77"/>
      <c r="T126" s="96"/>
      <c r="U126" s="96"/>
      <c r="V126" s="77"/>
      <c r="W126" s="77"/>
      <c r="X126" s="77"/>
      <c r="Y126" s="98"/>
      <c r="Z126" s="77"/>
      <c r="AA126" s="77"/>
      <c r="AB126" s="77"/>
      <c r="AC126" s="77"/>
      <c r="AD126" s="77"/>
      <c r="AE126" s="77"/>
      <c r="AF126" s="99"/>
      <c r="AG126" s="100"/>
      <c r="AH126" s="84"/>
      <c r="AI126" s="100"/>
      <c r="AJ126" s="105"/>
      <c r="AK126" s="100"/>
      <c r="AL126" s="100"/>
      <c r="AM126" s="100"/>
      <c r="AN126" s="100"/>
      <c r="AO126" s="100"/>
      <c r="AP126" s="100"/>
      <c r="AQ126" s="100"/>
      <c r="AR126" s="105"/>
      <c r="AS126" s="100"/>
      <c r="AT126" s="100"/>
      <c r="AU126" s="62"/>
      <c r="AV126" s="64">
        <f>60*0.117</f>
        <v>7.0200000000000005</v>
      </c>
      <c r="AW126" s="64">
        <f>60*0.175</f>
        <v>10.5</v>
      </c>
      <c r="AX126" s="64">
        <f>60*0.233</f>
        <v>13.98</v>
      </c>
      <c r="AY126" s="64">
        <f>60*0.35</f>
        <v>21</v>
      </c>
      <c r="AZ126" s="64">
        <f>60*0.467</f>
        <v>28.020000000000003</v>
      </c>
      <c r="BA126" s="64">
        <f>60*0.617</f>
        <v>37.019999999999996</v>
      </c>
      <c r="BB126" s="64">
        <f>60*0.708</f>
        <v>42.48</v>
      </c>
      <c r="BC126" s="64">
        <f>60*1.167</f>
        <v>70.02</v>
      </c>
      <c r="BD126" s="64">
        <f>60*1.75</f>
        <v>105</v>
      </c>
      <c r="BE126" s="64">
        <f>60*2.917</f>
        <v>175.01999999999998</v>
      </c>
      <c r="BF126" s="64">
        <f>60*5.833</f>
        <v>349.98</v>
      </c>
      <c r="BG126" s="64">
        <f>60*11.667</f>
        <v>700.02</v>
      </c>
      <c r="BH126" s="65"/>
      <c r="BI126" s="65"/>
      <c r="BJ126" s="65"/>
      <c r="BK126" s="65"/>
      <c r="BL126" s="61"/>
      <c r="BM126" s="61"/>
      <c r="BN126" s="61"/>
      <c r="BO126" s="61"/>
      <c r="BP126" s="61"/>
      <c r="BQ126" s="61"/>
      <c r="BR126" s="61"/>
      <c r="BS126" s="61"/>
      <c r="BT126" s="61"/>
      <c r="BU126" s="61"/>
      <c r="BV126" s="61"/>
      <c r="BW126" s="61"/>
      <c r="BX126" s="61"/>
      <c r="BY126" s="61"/>
      <c r="BZ126" s="61"/>
      <c r="CA126" s="61"/>
      <c r="CB126" s="61"/>
      <c r="CC126" s="61"/>
      <c r="CD126" s="61"/>
      <c r="CE126" s="61"/>
      <c r="CF126" s="61"/>
      <c r="CG126" s="61"/>
      <c r="CH126" s="61"/>
      <c r="CI126" s="61"/>
      <c r="CJ126" s="61"/>
      <c r="CK126" s="61"/>
      <c r="CL126" s="61"/>
      <c r="CM126" s="61"/>
      <c r="CN126" s="61"/>
      <c r="CO126" s="61"/>
      <c r="CP126" s="61"/>
      <c r="CQ126" s="61"/>
      <c r="CR126" s="59"/>
      <c r="CS126" s="59"/>
      <c r="CT126" s="59"/>
      <c r="CU126" s="59"/>
    </row>
    <row r="127" spans="1:99" s="60" customFormat="1" ht="12" customHeight="1" x14ac:dyDescent="0.2">
      <c r="A127" s="94">
        <v>43509</v>
      </c>
      <c r="B127" s="101" t="s">
        <v>228</v>
      </c>
      <c r="C127" s="101" t="s">
        <v>33</v>
      </c>
      <c r="D127" s="77">
        <v>1974</v>
      </c>
      <c r="E127" s="98">
        <v>1</v>
      </c>
      <c r="F127" s="77">
        <v>6</v>
      </c>
      <c r="G127" s="77">
        <v>6</v>
      </c>
      <c r="H127" s="77" t="s">
        <v>24</v>
      </c>
      <c r="I127" s="77" t="s">
        <v>229</v>
      </c>
      <c r="J127" s="77" t="s">
        <v>84</v>
      </c>
      <c r="K127" s="77" t="str">
        <f>IF(J127="syllables","1",IF(J127="trigrams","2",IF(J127="strings","3",IF(J127="visual array","4",IF(J127="characters","5",IF(J127="letters","6",IF(J127="free forms","7",IF(J127="odors","8",IF(J127="words","9",IF(J127="pictures","10",IF(J127="object pictures","11",IF(J127="faces","12",IF(J127="names","13",IF(J127="idioms","14",IF(J127="grades","15",IF(J127="syllable-digit pairs","16",IF(J127="trigram-word pairs","17",IF(J127="word-digit pairs","18",IF(J127="English-Swahili pairs","19",IF(J127="spatial position","20",IF(J127="word pairs","21",IF(J127="word triads","22",IF(J127="generated words","23",IF(J127="word definition pairs","24",IF(J127="math problems","25",IF(J127="famous faces","26",IF(J127="famous names","27",IF(J127="famous voices","28",IF(J127="television programs","29",IF(J127="race horses","30",IF(J127="new vocabulary","31",IF(J127="sentences","32",IF(J127="concepts","33",IF(J127="ad slides","34",IF(J127="scenes","35",IF(J127="famous scenes","36",IF(J127="poems","37",IF(J127="walk","38",IF(J127="faces and events","39",IF(J127="events and names","40",IF(J127="flashbulb","41",IF(J127="stories","42",IF(J127="course material","43",IF(J127="autobiographical","44",IF(J127="novels","45",IF(J127="public events","46",IF(J127="order","90","99")))))))))))))))))))))))))))))))))))))))))))))))</f>
        <v>21</v>
      </c>
      <c r="L127" s="77" t="str">
        <f>IF(J127="syllables","1",IF(J127="trigrams","1",IF(J127="strings","1",IF(J127="visual array","1",IF(J127="characters","1",IF(J127="letters","1",IF(J127="free forms","1",IF(J127="odors","2",IF(J127="words","2",IF(J127="pictures","2",IF(J127="object pictures","2",IF(J127="faces","2",IF(J127="names","2",IF(J127="idioms","2",IF(J127="grades","2",IF(J127="syllable-digit pairs","3",IF(J127="trigram-word pairs","3",IF(J127="word-digit pairs","3",IF(J127="English-Swahili pairs","3",IF(J127="spatial position","3",IF(J127="word pairs","4",IF(J127="word triads","4",IF(J127="generated words","4",IF(J127="word definition pairs","4",IF(J127="math problems","4",IF(J127="famous faces","4",IF(J127="famous names","4",IF(J127="famous voices","4",IF(J127="television programs","4",IF(J127="race horses","4",IF(J127="new vocabulary","4",IF(J127="sentences","5",IF(J127="concepts","5",IF(J127="ad slides","5",IF(J127="scenes","5",IF(J127="famous scenes","5",IF(J127="poems","6",IF(J127="walk","6",IF(J127="faces and events","6",IF(J127="events and names","6",IF(J127="flashbulb","7",IF(J127="stories","7",IF(J127="course material","7",IF(J127="autobiographical","7",IF(J127="novels","7",IF(J127="public events","7",IF(J127="order","90","99")))))))))))))))))))))))))))))))))))))))))))))))</f>
        <v>4</v>
      </c>
      <c r="M127" s="77" t="s">
        <v>195</v>
      </c>
      <c r="N127" s="77">
        <v>1</v>
      </c>
      <c r="O127" s="77" t="s">
        <v>195</v>
      </c>
      <c r="P127" s="77"/>
      <c r="Q127" s="77" t="s">
        <v>18</v>
      </c>
      <c r="R127" s="77" t="str">
        <f>IF(Q127="Free Recall","1",IF(Q127="Cued Recall","2",IF(Q127="Recognition","3",IF(Q127="Multiple Choice","4",IF(Q127="Savings","5",IF(Q127="Stem Completion","6",IF(Q127="Fragment Completion","7",IF(Q127="anagram solution","8",IF(Q127="Matching","9",IF(Q127="Problem Solving","10","99"))))))))))</f>
        <v>3</v>
      </c>
      <c r="S127" s="77" t="s">
        <v>196</v>
      </c>
      <c r="T127" s="96" t="s">
        <v>132</v>
      </c>
      <c r="U127" s="32">
        <f>IF(T127="within",1,0)</f>
        <v>1</v>
      </c>
      <c r="V127" s="96">
        <v>600</v>
      </c>
      <c r="W127" s="77">
        <f>F127*V127</f>
        <v>3600</v>
      </c>
      <c r="X127" s="77">
        <v>12</v>
      </c>
      <c r="Y127" s="98">
        <f>AV126</f>
        <v>7.0200000000000005</v>
      </c>
      <c r="Z127" s="77" t="s">
        <v>230</v>
      </c>
      <c r="AA127" s="77">
        <v>700</v>
      </c>
      <c r="AB127" s="77" t="str">
        <f>IF(AA127&lt;60,"1",IF(AA127&lt;=43200,"2",IF(AA127&lt;=777600,"3","4")))</f>
        <v>2</v>
      </c>
      <c r="AC127" s="100">
        <f>AVERAGE(AV126:DA126)</f>
        <v>130.005</v>
      </c>
      <c r="AD127" s="77" t="str">
        <f>IF(AC127&lt;60,"1",IF(AC127&lt;=43200,"2",IF(AC127&lt;=777600,"3","4")))</f>
        <v>2</v>
      </c>
      <c r="AE127" s="98">
        <f>AA127-Y127</f>
        <v>692.98</v>
      </c>
      <c r="AF127" s="99">
        <f>AV127</f>
        <v>4.46</v>
      </c>
      <c r="AG127" s="100">
        <f>((AW127-AV127)+(AX127-AW127)+(AY127-AX127)+(AZ127-AY127)+(BA127-AZ127)+(BB127-BA127)+(BC127-BB127)+(BD127-BC127)+(BE127-BD127)+(BF127-BE127)+(BG127-BF127))/11</f>
        <v>-0.21</v>
      </c>
      <c r="AH127" s="84"/>
      <c r="AI127" s="100">
        <f>RSQ(AV127:BG127,AV126:BG126)</f>
        <v>0.71938183053187466</v>
      </c>
      <c r="AJ127" s="105">
        <f>SLOPE(AV127:BG127,AV126:BG126)</f>
        <v>-3.0869652591551059E-3</v>
      </c>
      <c r="AK127" s="100">
        <f>INTERCEPT(AV127:BG127,AV126:BG126)</f>
        <v>3.9146542518497931</v>
      </c>
      <c r="AL127" s="100">
        <f>INDEX(LINEST(LN(AV127:BG127),LN(AV126:BG126),TRUE,TRUE),3,1)</f>
        <v>0.8426931247078685</v>
      </c>
      <c r="AM127" s="100">
        <f>INDEX(LINEST(LN(AV127:BG127),LN(AV126:BG126)),1)</f>
        <v>-0.15182155030122266</v>
      </c>
      <c r="AN127" s="100">
        <f>EXP(INDEX(LINEST(LN(AV127:BG127),LN(AV126:BG126)),1,2))</f>
        <v>6.2315244210124145</v>
      </c>
      <c r="AO127" s="104">
        <f>INDEX(LINEST((AV127:BG127),LN(AV126:BG126),TRUE,TRUE),3,1)</f>
        <v>0.83851218677390282</v>
      </c>
      <c r="AP127" s="104">
        <f>INDEX(LINEST((AV127:BG127),LN(AV126:BG126)),1)</f>
        <v>-0.48135745300306015</v>
      </c>
      <c r="AQ127" s="48">
        <f>INDEX(LINEST(LN(AV127:BG127),SQRT(AV126:BG126),TRUE,TRUE),3,1)</f>
        <v>0.88988718902968422</v>
      </c>
      <c r="AR127" s="56">
        <f>INDEX(LINEST(LN(AV127:BG127),SQRT((AV126:BG126))),1)</f>
        <v>-3.0778280496874613E-2</v>
      </c>
      <c r="AS127" s="49">
        <f>INDEX(LINEST(1/(AV127:BG127),1/(SQRT(AV126:BG126)),TRUE,TRUE),3,1)</f>
        <v>0.59459853328843781</v>
      </c>
      <c r="AT127" s="49">
        <f>INDEX(LINEST(1/(AV127:BG127),1/SQRT(AV126:BG126)),1)</f>
        <v>-0.56357058213924083</v>
      </c>
      <c r="AU127" s="63"/>
      <c r="AV127" s="65">
        <v>4.46</v>
      </c>
      <c r="AW127" s="65">
        <v>3.75</v>
      </c>
      <c r="AX127" s="65">
        <v>4.32</v>
      </c>
      <c r="AY127" s="65">
        <v>3.91</v>
      </c>
      <c r="AZ127" s="65">
        <v>4.1399999999999997</v>
      </c>
      <c r="BA127" s="65">
        <v>3.61</v>
      </c>
      <c r="BB127" s="65">
        <v>3.33</v>
      </c>
      <c r="BC127" s="65">
        <v>4</v>
      </c>
      <c r="BD127" s="65">
        <v>3.24</v>
      </c>
      <c r="BE127" s="65">
        <v>2.91</v>
      </c>
      <c r="BF127" s="65">
        <v>2.34</v>
      </c>
      <c r="BG127" s="65">
        <v>2.15</v>
      </c>
      <c r="BH127" s="65"/>
      <c r="BI127" s="65"/>
      <c r="BJ127" s="65"/>
      <c r="BK127" s="65"/>
      <c r="BL127" s="61"/>
      <c r="BM127" s="61"/>
      <c r="BN127" s="61"/>
      <c r="BO127" s="61"/>
      <c r="BP127" s="61"/>
      <c r="BQ127" s="61"/>
      <c r="BR127" s="61"/>
      <c r="BS127" s="61"/>
      <c r="BT127" s="61"/>
      <c r="BU127" s="61"/>
      <c r="BV127" s="61"/>
      <c r="BW127" s="61"/>
      <c r="BX127" s="61"/>
      <c r="BY127" s="61"/>
      <c r="BZ127" s="61"/>
      <c r="CA127" s="61"/>
      <c r="CB127" s="61"/>
      <c r="CC127" s="61"/>
      <c r="CD127" s="61"/>
      <c r="CE127" s="61"/>
      <c r="CF127" s="61"/>
      <c r="CG127" s="61"/>
      <c r="CH127" s="61"/>
      <c r="CI127" s="61"/>
      <c r="CJ127" s="61"/>
      <c r="CK127" s="61"/>
      <c r="CL127" s="61"/>
      <c r="CM127" s="61"/>
      <c r="CN127" s="61"/>
      <c r="CO127" s="61"/>
      <c r="CP127" s="61"/>
      <c r="CQ127" s="61"/>
      <c r="CR127" s="59"/>
      <c r="CS127" s="59"/>
      <c r="CT127" s="59"/>
      <c r="CU127" s="59"/>
    </row>
    <row r="128" spans="1:99" s="60" customFormat="1" ht="12" customHeight="1" x14ac:dyDescent="0.2">
      <c r="A128" s="94">
        <v>43509</v>
      </c>
      <c r="B128" s="101"/>
      <c r="C128" s="101"/>
      <c r="D128" s="77"/>
      <c r="E128" s="98"/>
      <c r="F128" s="77"/>
      <c r="G128" s="77"/>
      <c r="H128" s="77"/>
      <c r="I128" s="77"/>
      <c r="J128" s="77"/>
      <c r="K128" s="102"/>
      <c r="L128" s="102"/>
      <c r="M128" s="77"/>
      <c r="N128" s="77"/>
      <c r="O128" s="77"/>
      <c r="P128" s="77"/>
      <c r="Q128" s="77"/>
      <c r="R128" s="77"/>
      <c r="S128" s="77"/>
      <c r="T128" s="96"/>
      <c r="U128" s="96"/>
      <c r="V128" s="77"/>
      <c r="W128" s="77"/>
      <c r="X128" s="77"/>
      <c r="Y128" s="98"/>
      <c r="Z128" s="77"/>
      <c r="AA128" s="77"/>
      <c r="AB128" s="77"/>
      <c r="AC128" s="77"/>
      <c r="AD128" s="77"/>
      <c r="AE128" s="77"/>
      <c r="AF128" s="99"/>
      <c r="AG128" s="100"/>
      <c r="AH128" s="84"/>
      <c r="AI128" s="100"/>
      <c r="AJ128" s="105"/>
      <c r="AK128" s="100"/>
      <c r="AL128" s="100"/>
      <c r="AM128" s="100"/>
      <c r="AN128" s="100"/>
      <c r="AO128" s="100"/>
      <c r="AP128" s="100"/>
      <c r="AQ128" s="100"/>
      <c r="AR128" s="105"/>
      <c r="AS128" s="100"/>
      <c r="AT128" s="100"/>
      <c r="AU128" s="62"/>
      <c r="AV128" s="64">
        <f>2*60</f>
        <v>120</v>
      </c>
      <c r="AW128" s="64">
        <f>4*60</f>
        <v>240</v>
      </c>
      <c r="AX128" s="64">
        <f>7*60</f>
        <v>420</v>
      </c>
      <c r="AY128" s="64">
        <f>15*60</f>
        <v>900</v>
      </c>
      <c r="AZ128" s="64">
        <f>30*60</f>
        <v>1800</v>
      </c>
      <c r="BA128" s="64">
        <f>50*60</f>
        <v>3000</v>
      </c>
      <c r="BB128" s="64">
        <f>24*60*60</f>
        <v>86400</v>
      </c>
      <c r="BC128" s="64">
        <f>2*24*60*60</f>
        <v>172800</v>
      </c>
      <c r="BD128" s="64">
        <f>4*24*60*60</f>
        <v>345600</v>
      </c>
      <c r="BE128" s="64">
        <f>7*24*60*60</f>
        <v>604800</v>
      </c>
      <c r="BF128" s="64">
        <f>10*24*60*60</f>
        <v>864000</v>
      </c>
      <c r="BG128" s="64">
        <f>14*24*60*60</f>
        <v>1209600</v>
      </c>
      <c r="BH128" s="65"/>
      <c r="BI128" s="65"/>
      <c r="BJ128" s="65"/>
      <c r="BK128" s="65"/>
      <c r="BL128" s="61"/>
      <c r="BM128" s="61"/>
      <c r="BN128" s="61"/>
      <c r="BO128" s="61"/>
      <c r="BP128" s="61"/>
      <c r="BQ128" s="61"/>
      <c r="BR128" s="61"/>
      <c r="BS128" s="61"/>
      <c r="BT128" s="61"/>
      <c r="BU128" s="61"/>
      <c r="BV128" s="61"/>
      <c r="BW128" s="61"/>
      <c r="BX128" s="61"/>
      <c r="BY128" s="61"/>
      <c r="BZ128" s="61"/>
      <c r="CA128" s="61"/>
      <c r="CB128" s="61"/>
      <c r="CC128" s="61"/>
      <c r="CD128" s="61"/>
      <c r="CE128" s="61"/>
      <c r="CF128" s="61"/>
      <c r="CG128" s="61"/>
      <c r="CH128" s="61"/>
      <c r="CI128" s="61"/>
      <c r="CJ128" s="61"/>
      <c r="CK128" s="61"/>
      <c r="CL128" s="61"/>
      <c r="CM128" s="61"/>
      <c r="CN128" s="61"/>
      <c r="CO128" s="61"/>
      <c r="CP128" s="61"/>
      <c r="CQ128" s="61"/>
      <c r="CR128" s="59"/>
      <c r="CS128" s="59"/>
      <c r="CT128" s="59"/>
      <c r="CU128" s="59"/>
    </row>
    <row r="129" spans="1:99" s="60" customFormat="1" ht="12" customHeight="1" x14ac:dyDescent="0.2">
      <c r="A129" s="94">
        <v>43509</v>
      </c>
      <c r="B129" s="101" t="s">
        <v>231</v>
      </c>
      <c r="C129" s="101" t="s">
        <v>33</v>
      </c>
      <c r="D129" s="77">
        <v>1975</v>
      </c>
      <c r="E129" s="98">
        <v>1</v>
      </c>
      <c r="F129" s="77">
        <v>10</v>
      </c>
      <c r="G129" s="77">
        <v>10</v>
      </c>
      <c r="H129" s="77" t="s">
        <v>28</v>
      </c>
      <c r="I129" s="77" t="s">
        <v>232</v>
      </c>
      <c r="J129" s="77" t="s">
        <v>12</v>
      </c>
      <c r="K129" s="77" t="str">
        <f>IF(J129="syllables","1",IF(J129="trigrams","2",IF(J129="strings","3",IF(J129="visual array","4",IF(J129="characters","5",IF(J129="letters","6",IF(J129="free forms","7",IF(J129="odors","8",IF(J129="words","9",IF(J129="pictures","10",IF(J129="object pictures","11",IF(J129="faces","12",IF(J129="names","13",IF(J129="idioms","14",IF(J129="grades","15",IF(J129="syllable-digit pairs","16",IF(J129="trigram-word pairs","17",IF(J129="word-digit pairs","18",IF(J129="English-Swahili pairs","19",IF(J129="spatial position","20",IF(J129="word pairs","21",IF(J129="word triads","22",IF(J129="generated words","23",IF(J129="word definition pairs","24",IF(J129="math problems","25",IF(J129="famous faces","26",IF(J129="famous names","27",IF(J129="famous voices","28",IF(J129="television programs","29",IF(J129="race horses","30",IF(J129="new vocabulary","31",IF(J129="sentences","32",IF(J129="concepts","33",IF(J129="ad slides","34",IF(J129="scenes","35",IF(J129="famous scenes","36",IF(J129="poems","37",IF(J129="walk","38",IF(J129="faces and events","39",IF(J129="events and names","40",IF(J129="flashbulb","41",IF(J129="stories","42",IF(J129="course material","43",IF(J129="autobiographical","44",IF(J129="novels","45",IF(J129="public events","46",IF(J129="order","90","99")))))))))))))))))))))))))))))))))))))))))))))))</f>
        <v>9</v>
      </c>
      <c r="L129" s="77" t="str">
        <f>IF(J129="syllables","1",IF(J129="trigrams","1",IF(J129="strings","1",IF(J129="visual array","1",IF(J129="characters","1",IF(J129="letters","1",IF(J129="free forms","1",IF(J129="odors","2",IF(J129="words","2",IF(J129="pictures","2",IF(J129="object pictures","2",IF(J129="faces","2",IF(J129="names","2",IF(J129="idioms","2",IF(J129="grades","2",IF(J129="syllable-digit pairs","3",IF(J129="trigram-word pairs","3",IF(J129="word-digit pairs","3",IF(J129="English-Swahili pairs","3",IF(J129="spatial position","3",IF(J129="word pairs","4",IF(J129="word triads","4",IF(J129="generated words","4",IF(J129="word definition pairs","4",IF(J129="math problems","4",IF(J129="famous faces","4",IF(J129="famous names","4",IF(J129="famous voices","4",IF(J129="television programs","4",IF(J129="race horses","4",IF(J129="new vocabulary","4",IF(J129="sentences","5",IF(J129="concepts","5",IF(J129="ad slides","5",IF(J129="scenes","5",IF(J129="famous scenes","5",IF(J129="poems","6",IF(J129="walk","6",IF(J129="faces and events","6",IF(J129="events and names","6",IF(J129="flashbulb","7",IF(J129="stories","7",IF(J129="course material","7",IF(J129="autobiographical","7",IF(J129="novels","7",IF(J129="public events","7",IF(J129="order","90","99")))))))))))))))))))))))))))))))))))))))))))))))</f>
        <v>2</v>
      </c>
      <c r="M129" s="77" t="s">
        <v>195</v>
      </c>
      <c r="N129" s="77">
        <v>1</v>
      </c>
      <c r="O129" s="77" t="s">
        <v>195</v>
      </c>
      <c r="P129" s="77"/>
      <c r="Q129" s="77" t="s">
        <v>18</v>
      </c>
      <c r="R129" s="77" t="str">
        <f>IF(Q129="Free Recall","1",IF(Q129="Cued Recall","2",IF(Q129="Recognition","3",IF(Q129="Multiple Choice","4",IF(Q129="Savings","5",IF(Q129="Stem Completion","6",IF(Q129="Fragment Completion","7",IF(Q129="anagram solution","8",IF(Q129="Matching","9",IF(Q129="Problem Solving","10","99"))))))))))</f>
        <v>3</v>
      </c>
      <c r="S129" s="77" t="s">
        <v>196</v>
      </c>
      <c r="T129" s="96" t="s">
        <v>132</v>
      </c>
      <c r="U129" s="32">
        <f>IF(T129="within",1,0)</f>
        <v>1</v>
      </c>
      <c r="V129" s="96">
        <v>600</v>
      </c>
      <c r="W129" s="77">
        <f>F129*V129</f>
        <v>6000</v>
      </c>
      <c r="X129" s="77">
        <v>12</v>
      </c>
      <c r="Y129" s="98">
        <f>AV128</f>
        <v>120</v>
      </c>
      <c r="Z129" s="77" t="s">
        <v>59</v>
      </c>
      <c r="AA129" s="98">
        <f>14*24*60*60</f>
        <v>1209600</v>
      </c>
      <c r="AB129" s="77" t="str">
        <f>IF(AA129&lt;60,"1",IF(AA129&lt;=43200,"2",IF(AA129&lt;=777600,"3","4")))</f>
        <v>4</v>
      </c>
      <c r="AC129" s="100">
        <f>AVERAGE(AV128:DA128)</f>
        <v>274140</v>
      </c>
      <c r="AD129" s="77" t="str">
        <f>IF(AC129&lt;60,"1",IF(AC129&lt;=43200,"2",IF(AC129&lt;=777600,"3","4")))</f>
        <v>3</v>
      </c>
      <c r="AE129" s="98">
        <f>AA129-Y129</f>
        <v>1209480</v>
      </c>
      <c r="AF129" s="99">
        <f>AV129</f>
        <v>2.79</v>
      </c>
      <c r="AG129" s="100">
        <f>((AW129-AV129)+(AX129-AW129)+(AY129-AX129)+(AZ129-AY129)+(BA129-AZ129)+(BB129-BA129)+(BC129-BB129)+(BD129-BC129)+(BE129-BD129)+(BF129-BE129)+(BG129-BF129))/11</f>
        <v>-0.23818181818181819</v>
      </c>
      <c r="AH129" s="84"/>
      <c r="AI129" s="100">
        <f>RSQ(AV129:BG129,AV128:BG128)</f>
        <v>0.47339041053421671</v>
      </c>
      <c r="AJ129" s="105">
        <f>SLOPE(AV129:BG129,AV128:BG128)</f>
        <v>-1.5170680069343578E-6</v>
      </c>
      <c r="AK129" s="100">
        <f>INTERCEPT(AV129:BG129,AV128:BG128)</f>
        <v>1.5017223567543183</v>
      </c>
      <c r="AL129" s="100">
        <f>INDEX(LINEST(LN(AV129:BG129),LN(AV128:BG128),TRUE,TRUE),3,1)</f>
        <v>0.98550569892021489</v>
      </c>
      <c r="AM129" s="100">
        <f>INDEX(LINEST(LN(AV129:BG129),LN(AV128:BG128)),1)</f>
        <v>-0.28036390513334736</v>
      </c>
      <c r="AN129" s="100">
        <f>EXP(INDEX(LINEST(LN(AV129:BG129),LN(AV128:BG128)),1,2))</f>
        <v>10.898420242290976</v>
      </c>
      <c r="AO129" s="104">
        <f>INDEX(LINEST((AV129:BG129),LN(AV128:BG128),TRUE,TRUE),3,1)</f>
        <v>0.93443651152297802</v>
      </c>
      <c r="AP129" s="104">
        <f>INDEX(LINEST((AV129:BG129),LN(AV128:BG128)),1)</f>
        <v>-0.24687248959437136</v>
      </c>
      <c r="AQ129" s="48">
        <f>INDEX(LINEST(LN(AV129:BG129),SQRT(AV128:BG128),TRUE,TRUE),3,1)</f>
        <v>0.90706599246740616</v>
      </c>
      <c r="AR129" s="56">
        <f>INDEX(LINEST(LN(AV129:BG129),SQRT((AV128:BG128))),1)</f>
        <v>-2.3654636792636761E-3</v>
      </c>
      <c r="AS129" s="49">
        <f>INDEX(LINEST(1/(AV129:BG129),1/(SQRT(AV128:BG128)),TRUE,TRUE),3,1)</f>
        <v>0.49160156217332146</v>
      </c>
      <c r="AT129" s="49">
        <f>INDEX(LINEST(1/(AV129:BG129),1/SQRT(AV128:BG128)),1)</f>
        <v>-44.065462611935793</v>
      </c>
      <c r="AU129" s="63"/>
      <c r="AV129" s="65">
        <v>2.79</v>
      </c>
      <c r="AW129" s="65">
        <v>2.2799999999999998</v>
      </c>
      <c r="AX129" s="65">
        <v>1.85</v>
      </c>
      <c r="AY129" s="65">
        <v>1.69</v>
      </c>
      <c r="AZ129" s="65">
        <v>1.3</v>
      </c>
      <c r="BA129" s="65">
        <v>1.17</v>
      </c>
      <c r="BB129" s="65">
        <v>0.5</v>
      </c>
      <c r="BC129" s="65">
        <v>0.47</v>
      </c>
      <c r="BD129" s="65">
        <v>0.34</v>
      </c>
      <c r="BE129" s="65">
        <v>0.26</v>
      </c>
      <c r="BF129" s="65">
        <v>0.21</v>
      </c>
      <c r="BG129" s="65">
        <v>0.17</v>
      </c>
      <c r="BH129" s="65"/>
      <c r="BI129" s="65"/>
      <c r="BJ129" s="65"/>
      <c r="BK129" s="65"/>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59"/>
      <c r="CS129" s="59"/>
      <c r="CT129" s="59"/>
      <c r="CU129" s="59"/>
    </row>
    <row r="130" spans="1:99" ht="12" customHeight="1" x14ac:dyDescent="0.2">
      <c r="A130" s="37">
        <v>43509</v>
      </c>
      <c r="B130" s="11"/>
      <c r="C130" s="11"/>
      <c r="D130" s="31"/>
      <c r="F130" s="31"/>
      <c r="G130" s="31"/>
      <c r="J130" s="31"/>
      <c r="M130" s="31"/>
      <c r="N130" s="31"/>
      <c r="O130" s="31"/>
      <c r="P130" s="31"/>
      <c r="Q130" s="31"/>
      <c r="R130" s="32"/>
      <c r="S130" s="31"/>
      <c r="T130" s="31"/>
      <c r="U130" s="32"/>
      <c r="V130" s="31"/>
      <c r="W130" s="32"/>
      <c r="Y130" s="41"/>
      <c r="AB130" s="32"/>
      <c r="AC130" s="32"/>
      <c r="AD130" s="32"/>
      <c r="AE130" s="32"/>
      <c r="AF130" s="45"/>
      <c r="AG130" s="28"/>
      <c r="AI130" s="27"/>
      <c r="AJ130" s="52"/>
      <c r="AK130" s="27"/>
      <c r="AL130" s="27"/>
      <c r="AM130" s="27"/>
      <c r="AN130" s="27"/>
      <c r="AO130" s="27"/>
      <c r="AP130" s="27"/>
      <c r="AQ130" s="28"/>
      <c r="AR130" s="51"/>
      <c r="AS130" s="28"/>
      <c r="AT130" s="28"/>
      <c r="AU130" s="4"/>
      <c r="AV130" s="24">
        <v>300</v>
      </c>
      <c r="AW130" s="24">
        <v>1200</v>
      </c>
      <c r="AX130" s="24">
        <v>3600</v>
      </c>
      <c r="AY130" s="24">
        <v>86400</v>
      </c>
      <c r="AZ130" s="24">
        <v>172800</v>
      </c>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11"/>
      <c r="CS130" s="11"/>
      <c r="CT130" s="11"/>
      <c r="CU130" s="11"/>
    </row>
    <row r="131" spans="1:99" ht="12" customHeight="1" x14ac:dyDescent="0.2">
      <c r="A131" s="37">
        <v>43509</v>
      </c>
      <c r="B131" s="11" t="s">
        <v>161</v>
      </c>
      <c r="C131" s="11" t="s">
        <v>39</v>
      </c>
      <c r="D131" s="31">
        <v>1926</v>
      </c>
      <c r="E131" s="42">
        <v>1</v>
      </c>
      <c r="F131" s="31">
        <v>5</v>
      </c>
      <c r="G131" s="31">
        <v>5</v>
      </c>
      <c r="H131" s="31" t="s">
        <v>22</v>
      </c>
      <c r="I131" s="36" t="s">
        <v>158</v>
      </c>
      <c r="J131" s="31" t="s">
        <v>148</v>
      </c>
      <c r="K131" s="32">
        <f>IF(J131="syllables",1,IF(J131="trigrams",2,IF(J131="strings",3,IF(J131="visual array",4,IF(J131="characters",5,IF(J131="letters",6,IF(J131="free forms",7,IF(J131="odors",8,IF(J131="words",9,IF(J131="pictures",10,IF(J131="object pictures",11,IF(J131="faces",12,IF(J131="names",13,IF(J131="idioms",14,IF(J131="grades",15,IF(J131="syllable-digit pairs",16,IF(J131="trigram-word pairs",17,IF(J131="word-digit pairs",18,IF(J131="English-Swahili pairs",19,IF(J131="spatial position",20,IF(J131="word pairs",21,IF(J131="word triads",22,IF(J131="generated words",23,IF(J131="word definition pairs",24,IF(J131="math problems",25,IF(J131="famous faces",26,IF(J131="famous names",27,IF(J131="famous voices",28,IF(J131="television programs",29,IF(J131="race horses",30,IF(J131="new vocabulary",31,IF(J131="sentences",32,IF(J131="concepts",33,IF(J131="ad slides",34,IF(J131="scenes",35,IF(J131="famous scenes",36,IF(J131="poems",37,IF(J131="walk",38,IF(J131="faces and events",39,IF(J131="events and names",40,IF(J131="flashbulb",41,IF(J131="stories",42,IF(J131="course material",43,IF(J131="autobiographical",44,IF(J131="novels",45,IF(J131="public events",46,"99"))))))))))))))))))))))))))))))))))))))))))))))</f>
        <v>5</v>
      </c>
      <c r="L131" s="32">
        <f>IF(J131="syllables",1,IF(J131="trigrams",1,IF(J131="strings",1,IF(J131="visual array",1,IF(J131="characters",1,IF(J131="letters",1,IF(J131="free forms",1,IF(J131="odors",2,IF(J131="words",2,IF(J131="pictures",2,IF(J131="object pictures",2,IF(J131="faces",2,IF(J131="names",2,IF(J131="idioms","2",IF(J131="grades",2,IF(J131="syllable-digit pairs",3,IF(J131="trigram-word pairs",3,IF(J131="word-digit pairs",3,IF(J131="English-Swahili pairs",3,IF(J131="spatial position",3,IF(J131="word pairs",4,IF(J131="word triads",4,IF(J131="generated words",4,IF(J131="word definition pairs",4,IF(J131="math problems",4,IF(J131="famous faces",4,IF(J131="famous names",4,IF(J131="famous voices",4,IF(J131="television programs",4,IF(J131="race horses",4,IF(J131="new vocabulary",4,IF(J131="sentences",5,IF(J131="concepts",5,IF(J131="ad slides",5,IF(J131="scenes",5,IF(J131="famous scenes",5,IF(J131="poems",6,IF(J131="walk",6,IF(J131="faces and events",6,IF(J131="events and names",6,IF(J131="flashbulb",7,IF(J131="stories",7,IF(J131="course material",7,IF(J131="autobiographical",7,IF(J131="novels",7,IF(J131="public events",7,"99"))))))))))))))))))))))))))))))))))))))))))))))</f>
        <v>1</v>
      </c>
      <c r="M131" s="36">
        <v>0</v>
      </c>
      <c r="N131" s="31">
        <v>1</v>
      </c>
      <c r="O131" s="31">
        <v>0</v>
      </c>
      <c r="P131" s="31"/>
      <c r="Q131" s="31" t="s">
        <v>18</v>
      </c>
      <c r="R131" s="32">
        <f>IF(Q131="Free Recall",1,IF(Q131="Cued Recall",2,IF(Q131="Recognition",3,IF(Q131="Multiple Choice",4,IF(Q131="Savings",5,IF(Q131="Stem Completion",6,IF(Q131="Fragment Completion",7,IF(Q131="anagram solution",8,IF(Q131="Matching",9,IF(Q131="Problem Solving",10,"99"))))))))))</f>
        <v>3</v>
      </c>
      <c r="S131" s="31" t="s">
        <v>196</v>
      </c>
      <c r="T131" s="31" t="s">
        <v>132</v>
      </c>
      <c r="U131" s="32">
        <f>IF(T131="within",1,0)</f>
        <v>1</v>
      </c>
      <c r="V131" s="31">
        <v>65</v>
      </c>
      <c r="W131" s="32">
        <f>F131*V131</f>
        <v>325</v>
      </c>
      <c r="X131" s="32">
        <v>5</v>
      </c>
      <c r="Y131" s="41">
        <f>AV130</f>
        <v>300</v>
      </c>
      <c r="Z131" s="36" t="s">
        <v>40</v>
      </c>
      <c r="AA131" s="31">
        <f>2*24*3600</f>
        <v>172800</v>
      </c>
      <c r="AB131" s="32" t="str">
        <f>IF(AA131&lt;60,"1",IF(AA131&lt;=43200,"2",IF(AA131&lt;=777600,"3","4")))</f>
        <v>3</v>
      </c>
      <c r="AC131" s="28">
        <f>AVERAGE(AV130:DA130)</f>
        <v>52860</v>
      </c>
      <c r="AD131" s="32" t="str">
        <f>IF(AC131&lt;60,"1",IF(AC131&lt;=43200,"2",IF(AC131&lt;=777600,"3","4")))</f>
        <v>3</v>
      </c>
      <c r="AE131" s="41">
        <f>AA131-Y131</f>
        <v>172500</v>
      </c>
      <c r="AF131" s="45">
        <f>AV131</f>
        <v>1.1072420199792572</v>
      </c>
      <c r="AG131" s="28">
        <f>((AW131-AV131)+(AX131-AW131)+(AY131-AX131)+(AZ131-AY131))/4</f>
        <v>-9.6549029432237254E-2</v>
      </c>
      <c r="AI131" s="28">
        <f>RSQ(AV131:AZ131,AV130:AZ130)</f>
        <v>0.45921198102195088</v>
      </c>
      <c r="AJ131" s="51">
        <f>SLOPE(AV131:AZ131,AV130:AZ130)</f>
        <v>-2.7270020639698513E-6</v>
      </c>
      <c r="AK131" s="28">
        <f>INTERCEPT(AV131:AZ131,AV130:AZ130)</f>
        <v>1.0799799997054491</v>
      </c>
      <c r="AL131" s="28">
        <f>INDEX(LINEST(LN(AV131:AZ131),LN(AV130:AZ130),TRUE,TRUE),3,1)</f>
        <v>0.72270816733737542</v>
      </c>
      <c r="AM131" s="28">
        <f>INDEX(LINEST(LN(AV131:AZ131),LN(AV130:AZ130)),1)</f>
        <v>-9.9558797664040813E-2</v>
      </c>
      <c r="AN131" s="28">
        <f>EXP(INDEX(LINEST(LN(AV131:AZ131),LN(AV130:AZ130)),1,2))</f>
        <v>2.1729363686464458</v>
      </c>
      <c r="AO131" s="47">
        <f>INDEX(LINEST((AV131:AZ131),LN(AV130:AZ130),TRUE,TRUE),3,1)</f>
        <v>0.65725900427061923</v>
      </c>
      <c r="AP131" s="47">
        <f>INDEX(LINEST((AV131:AZ131),LN(AV130:AZ130)),1)</f>
        <v>-9.0954903397580528E-2</v>
      </c>
      <c r="AQ131" s="48">
        <f>INDEX(LINEST(LN(AV131:AZ131),SQRT(AV130:AZ130),TRUE,TRUE),3,1)</f>
        <v>0.62432419879775292</v>
      </c>
      <c r="AR131" s="56">
        <f>INDEX(LINEST(LN(AV131:AZ131),SQRT((AV130:AZ130))),1)</f>
        <v>-1.4110558044231815E-3</v>
      </c>
      <c r="AS131" s="49">
        <f>INDEX(LINEST(1/(AV131:AZ131),1/(SQRT(AV130:AZ130)),TRUE,TRUE),3,1)</f>
        <v>0.59481842615672431</v>
      </c>
      <c r="AT131" s="49">
        <f>INDEX(LINEST(1/(AV131:AZ131),1/SQRT(AV130:AZ130)),1)</f>
        <v>-11.973327363694416</v>
      </c>
      <c r="AU131" s="3"/>
      <c r="AV131" s="7">
        <v>1.1072420199792572</v>
      </c>
      <c r="AW131" s="7">
        <v>1.3807923130361692</v>
      </c>
      <c r="AX131" s="7">
        <v>0.8452388845347677</v>
      </c>
      <c r="AY131" s="7">
        <v>0.6248342332195107</v>
      </c>
      <c r="AZ131" s="7">
        <v>0.72104590225030818</v>
      </c>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11"/>
      <c r="CS131" s="11"/>
      <c r="CT131" s="11"/>
      <c r="CU131" s="11"/>
    </row>
    <row r="132" spans="1:99" ht="12" customHeight="1" x14ac:dyDescent="0.2">
      <c r="A132" s="37">
        <v>43509</v>
      </c>
      <c r="B132" s="11"/>
      <c r="C132" s="11"/>
      <c r="D132" s="31"/>
      <c r="F132" s="31"/>
      <c r="G132" s="31"/>
      <c r="H132" s="31"/>
      <c r="J132" s="31"/>
      <c r="N132" s="31"/>
      <c r="O132" s="31"/>
      <c r="P132" s="31"/>
      <c r="Q132" s="31"/>
      <c r="R132" s="32"/>
      <c r="S132" s="31"/>
      <c r="T132" s="31"/>
      <c r="U132" s="32"/>
      <c r="V132" s="31"/>
      <c r="W132" s="32"/>
      <c r="Y132" s="41"/>
      <c r="AB132" s="32"/>
      <c r="AC132" s="32"/>
      <c r="AD132" s="32"/>
      <c r="AE132" s="32"/>
      <c r="AF132" s="45"/>
      <c r="AG132" s="28"/>
      <c r="AI132" s="27"/>
      <c r="AJ132" s="52"/>
      <c r="AK132" s="27"/>
      <c r="AL132" s="27"/>
      <c r="AM132" s="27"/>
      <c r="AN132" s="27"/>
      <c r="AO132" s="27"/>
      <c r="AP132" s="27"/>
      <c r="AQ132" s="28"/>
      <c r="AR132" s="51"/>
      <c r="AS132" s="28"/>
      <c r="AT132" s="28"/>
      <c r="AU132" s="4"/>
      <c r="AV132" s="24">
        <v>300</v>
      </c>
      <c r="AW132" s="24">
        <v>1200</v>
      </c>
      <c r="AX132" s="24">
        <v>3600</v>
      </c>
      <c r="AY132" s="24">
        <v>28800</v>
      </c>
      <c r="AZ132" s="24">
        <v>86400</v>
      </c>
      <c r="BA132" s="24">
        <v>172800</v>
      </c>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11"/>
      <c r="CS132" s="11"/>
      <c r="CT132" s="11"/>
      <c r="CU132" s="11"/>
    </row>
    <row r="133" spans="1:99" ht="12" customHeight="1" x14ac:dyDescent="0.2">
      <c r="A133" s="37">
        <v>43509</v>
      </c>
      <c r="B133" s="11" t="s">
        <v>161</v>
      </c>
      <c r="C133" s="11" t="s">
        <v>39</v>
      </c>
      <c r="D133" s="31">
        <v>1926</v>
      </c>
      <c r="E133" s="42">
        <v>2</v>
      </c>
      <c r="F133" s="31">
        <v>6</v>
      </c>
      <c r="G133" s="31">
        <v>6</v>
      </c>
      <c r="H133" s="31" t="s">
        <v>22</v>
      </c>
      <c r="I133" s="36" t="s">
        <v>159</v>
      </c>
      <c r="J133" s="31" t="s">
        <v>148</v>
      </c>
      <c r="K133" s="32">
        <f>IF(J133="syllables",1,IF(J133="trigrams",2,IF(J133="strings",3,IF(J133="visual array",4,IF(J133="characters",5,IF(J133="letters",6,IF(J133="free forms",7,IF(J133="odors",8,IF(J133="words",9,IF(J133="pictures",10,IF(J133="object pictures",11,IF(J133="faces",12,IF(J133="names",13,IF(J133="idioms",14,IF(J133="grades",15,IF(J133="syllable-digit pairs",16,IF(J133="trigram-word pairs",17,IF(J133="word-digit pairs",18,IF(J133="English-Swahili pairs",19,IF(J133="spatial position",20,IF(J133="word pairs",21,IF(J133="word triads",22,IF(J133="generated words",23,IF(J133="word definition pairs",24,IF(J133="math problems",25,IF(J133="famous faces",26,IF(J133="famous names",27,IF(J133="famous voices",28,IF(J133="television programs",29,IF(J133="race horses",30,IF(J133="new vocabulary",31,IF(J133="sentences",32,IF(J133="concepts",33,IF(J133="ad slides",34,IF(J133="scenes",35,IF(J133="famous scenes",36,IF(J133="poems",37,IF(J133="walk",38,IF(J133="faces and events",39,IF(J133="events and names",40,IF(J133="flashbulb",41,IF(J133="stories",42,IF(J133="course material",43,IF(J133="autobiographical",44,IF(J133="novels",45,IF(J133="public events",46,"99"))))))))))))))))))))))))))))))))))))))))))))))</f>
        <v>5</v>
      </c>
      <c r="L133" s="32">
        <f>IF(J133="syllables",1,IF(J133="trigrams",1,IF(J133="strings",1,IF(J133="visual array",1,IF(J133="characters",1,IF(J133="letters",1,IF(J133="free forms",1,IF(J133="odors",2,IF(J133="words",2,IF(J133="pictures",2,IF(J133="object pictures",2,IF(J133="faces",2,IF(J133="names",2,IF(J133="idioms","2",IF(J133="grades",2,IF(J133="syllable-digit pairs",3,IF(J133="trigram-word pairs",3,IF(J133="word-digit pairs",3,IF(J133="English-Swahili pairs",3,IF(J133="spatial position",3,IF(J133="word pairs",4,IF(J133="word triads",4,IF(J133="generated words",4,IF(J133="word definition pairs",4,IF(J133="math problems",4,IF(J133="famous faces",4,IF(J133="famous names",4,IF(J133="famous voices",4,IF(J133="television programs",4,IF(J133="race horses",4,IF(J133="new vocabulary",4,IF(J133="sentences",5,IF(J133="concepts",5,IF(J133="ad slides",5,IF(J133="scenes",5,IF(J133="famous scenes",5,IF(J133="poems",6,IF(J133="walk",6,IF(J133="faces and events",6,IF(J133="events and names",6,IF(J133="flashbulb",7,IF(J133="stories",7,IF(J133="course material",7,IF(J133="autobiographical",7,IF(J133="novels",7,IF(J133="public events",7,"99"))))))))))))))))))))))))))))))))))))))))))))))</f>
        <v>1</v>
      </c>
      <c r="M133" s="36">
        <v>0</v>
      </c>
      <c r="N133" s="31">
        <v>1</v>
      </c>
      <c r="O133" s="31">
        <v>0</v>
      </c>
      <c r="P133" s="31"/>
      <c r="Q133" s="31" t="s">
        <v>18</v>
      </c>
      <c r="R133" s="32">
        <f>IF(Q133="Free Recall",1,IF(Q133="Cued Recall",2,IF(Q133="Recognition",3,IF(Q133="Multiple Choice",4,IF(Q133="Savings",5,IF(Q133="Stem Completion",6,IF(Q133="Fragment Completion",7,IF(Q133="anagram solution",8,IF(Q133="Matching",9,IF(Q133="Problem Solving",10,"99"))))))))))</f>
        <v>3</v>
      </c>
      <c r="S133" s="31" t="s">
        <v>196</v>
      </c>
      <c r="T133" s="31" t="s">
        <v>132</v>
      </c>
      <c r="U133" s="32">
        <f>IF(T133="within",1,0)</f>
        <v>1</v>
      </c>
      <c r="V133" s="31">
        <v>65</v>
      </c>
      <c r="W133" s="32">
        <f>F133*V133</f>
        <v>390</v>
      </c>
      <c r="X133" s="32">
        <v>6</v>
      </c>
      <c r="Y133" s="41">
        <f>AV132</f>
        <v>300</v>
      </c>
      <c r="Z133" s="36" t="s">
        <v>40</v>
      </c>
      <c r="AA133" s="31">
        <f>2*24*3600</f>
        <v>172800</v>
      </c>
      <c r="AB133" s="32" t="str">
        <f>IF(AA133&lt;60,"1",IF(AA133&lt;=43200,"2",IF(AA133&lt;=777600,"3","4")))</f>
        <v>3</v>
      </c>
      <c r="AC133" s="28">
        <f>AVERAGE(AV132:DA132)</f>
        <v>48850</v>
      </c>
      <c r="AD133" s="32" t="str">
        <f>IF(AC133&lt;60,"1",IF(AC133&lt;=43200,"2",IF(AC133&lt;=777600,"3","4")))</f>
        <v>3</v>
      </c>
      <c r="AE133" s="41">
        <f>AA133-Y133</f>
        <v>172500</v>
      </c>
      <c r="AF133" s="45">
        <f>AV133</f>
        <v>1.3621025590677971</v>
      </c>
      <c r="AG133" s="28">
        <f>((AW133-AV133)+(AX133-AW133)+(AY133-AX133)+(AZ133-AY133)+(BA133-AZ133))/5</f>
        <v>-9.7446533756666259E-2</v>
      </c>
      <c r="AI133" s="28">
        <f>RSQ(AV133:BA133,AV132:BA132)</f>
        <v>0.68079767288935267</v>
      </c>
      <c r="AJ133" s="51">
        <f>SLOPE(AV133:BA133,AV132:BA132)</f>
        <v>-2.2754949384067415E-6</v>
      </c>
      <c r="AK133" s="28">
        <f>INTERCEPT(AV133:BA133,AV132:BA132)</f>
        <v>1.2727046758258993</v>
      </c>
      <c r="AL133" s="28">
        <f>INDEX(LINEST(LN(AV133:BA133),LN(AV132:BA132),TRUE,TRUE),3,1)</f>
        <v>0.77351925357668949</v>
      </c>
      <c r="AM133" s="28">
        <f>INDEX(LINEST(LN(AV133:BA133),LN(AV132:BA132)),1)</f>
        <v>-6.0025416092165336E-2</v>
      </c>
      <c r="AN133" s="28">
        <f>EXP(INDEX(LINEST(LN(AV133:BA133),LN(AV132:BA132)),1,2))</f>
        <v>1.9834645804758035</v>
      </c>
      <c r="AO133" s="47">
        <f>INDEX(LINEST((AV133:BA133),LN(AV132:BA132),TRUE,TRUE),3,1)</f>
        <v>0.80523414453422848</v>
      </c>
      <c r="AP133" s="47">
        <f>INDEX(LINEST((AV133:BA133),LN(AV132:BA132)),1)</f>
        <v>-6.7916403355973029E-2</v>
      </c>
      <c r="AQ133" s="48">
        <f>INDEX(LINEST(LN(AV133:BA133),SQRT(AV132:BA132),TRUE,TRUE),3,1)</f>
        <v>0.76794652271319963</v>
      </c>
      <c r="AR133" s="56">
        <f>INDEX(LINEST(LN(AV133:BA133),SQRT((AV132:BA132))),1)</f>
        <v>-9.3591129485548583E-4</v>
      </c>
      <c r="AS133" s="49">
        <f>INDEX(LINEST(1/(AV133:BA133),1/(SQRT(AV132:BA132)),TRUE,TRUE),3,1)</f>
        <v>0.54159943065389415</v>
      </c>
      <c r="AT133" s="49">
        <f>INDEX(LINEST(1/(AV133:BA133),1/SQRT(AV132:BA132)),1)</f>
        <v>-5.4203474774865228</v>
      </c>
      <c r="AU133" s="3"/>
      <c r="AV133" s="7">
        <v>1.3621025590677971</v>
      </c>
      <c r="AW133" s="7">
        <v>1.3417829606294027</v>
      </c>
      <c r="AX133" s="7">
        <v>1.2272082566808913</v>
      </c>
      <c r="AY133" s="7">
        <v>1.0129830196007652</v>
      </c>
      <c r="AZ133" s="7">
        <v>1.1503338022450573</v>
      </c>
      <c r="BA133" s="7">
        <v>0.87486989028446582</v>
      </c>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11"/>
      <c r="CS133" s="11"/>
      <c r="CT133" s="11"/>
      <c r="CU133" s="11"/>
    </row>
    <row r="134" spans="1:99" ht="12" customHeight="1" x14ac:dyDescent="0.2">
      <c r="A134" s="37">
        <v>43509</v>
      </c>
      <c r="B134" s="11"/>
      <c r="C134" s="11"/>
      <c r="D134" s="31"/>
      <c r="F134" s="31"/>
      <c r="G134" s="31"/>
      <c r="H134" s="31"/>
      <c r="J134" s="31"/>
      <c r="N134" s="31"/>
      <c r="O134" s="31"/>
      <c r="P134" s="31"/>
      <c r="Q134" s="31"/>
      <c r="R134" s="32"/>
      <c r="S134" s="31"/>
      <c r="T134" s="31"/>
      <c r="U134" s="32"/>
      <c r="V134" s="31"/>
      <c r="W134" s="32"/>
      <c r="Y134" s="41"/>
      <c r="AB134" s="32"/>
      <c r="AC134" s="32"/>
      <c r="AD134" s="32"/>
      <c r="AE134" s="32"/>
      <c r="AF134" s="45"/>
      <c r="AG134" s="28"/>
      <c r="AI134" s="27"/>
      <c r="AJ134" s="52"/>
      <c r="AK134" s="27"/>
      <c r="AL134" s="27"/>
      <c r="AM134" s="27"/>
      <c r="AN134" s="27"/>
      <c r="AO134" s="27"/>
      <c r="AP134" s="27"/>
      <c r="AQ134" s="28"/>
      <c r="AR134" s="51"/>
      <c r="AS134" s="28"/>
      <c r="AT134" s="28"/>
      <c r="AU134" s="4"/>
      <c r="AV134" s="24">
        <v>300</v>
      </c>
      <c r="AW134" s="24">
        <v>1200</v>
      </c>
      <c r="AX134" s="24">
        <v>3600</v>
      </c>
      <c r="AY134" s="24">
        <v>28800</v>
      </c>
      <c r="AZ134" s="24">
        <v>86400</v>
      </c>
      <c r="BA134" s="24">
        <v>172800</v>
      </c>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11"/>
      <c r="CS134" s="11"/>
      <c r="CT134" s="11"/>
      <c r="CU134" s="11"/>
    </row>
    <row r="135" spans="1:99" ht="12" customHeight="1" x14ac:dyDescent="0.2">
      <c r="A135" s="37">
        <v>43509</v>
      </c>
      <c r="B135" s="11" t="s">
        <v>161</v>
      </c>
      <c r="C135" s="11" t="s">
        <v>39</v>
      </c>
      <c r="D135" s="31">
        <v>1926</v>
      </c>
      <c r="E135" s="42">
        <v>2</v>
      </c>
      <c r="F135" s="31">
        <v>13</v>
      </c>
      <c r="G135" s="31">
        <v>13</v>
      </c>
      <c r="H135" s="31" t="s">
        <v>22</v>
      </c>
      <c r="I135" s="36" t="s">
        <v>160</v>
      </c>
      <c r="J135" s="31" t="s">
        <v>148</v>
      </c>
      <c r="K135" s="32">
        <f>IF(J135="syllables",1,IF(J135="trigrams",2,IF(J135="strings",3,IF(J135="visual array",4,IF(J135="characters",5,IF(J135="letters",6,IF(J135="free forms",7,IF(J135="odors",8,IF(J135="words",9,IF(J135="pictures",10,IF(J135="object pictures",11,IF(J135="faces",12,IF(J135="names",13,IF(J135="idioms",14,IF(J135="grades",15,IF(J135="syllable-digit pairs",16,IF(J135="trigram-word pairs",17,IF(J135="word-digit pairs",18,IF(J135="English-Swahili pairs",19,IF(J135="spatial position",20,IF(J135="word pairs",21,IF(J135="word triads",22,IF(J135="generated words",23,IF(J135="word definition pairs",24,IF(J135="math problems",25,IF(J135="famous faces",26,IF(J135="famous names",27,IF(J135="famous voices",28,IF(J135="television programs",29,IF(J135="race horses",30,IF(J135="new vocabulary",31,IF(J135="sentences",32,IF(J135="concepts",33,IF(J135="ad slides",34,IF(J135="scenes",35,IF(J135="famous scenes",36,IF(J135="poems",37,IF(J135="walk",38,IF(J135="faces and events",39,IF(J135="events and names",40,IF(J135="flashbulb",41,IF(J135="stories",42,IF(J135="course material",43,IF(J135="autobiographical",44,IF(J135="novels",45,IF(J135="public events",46,"99"))))))))))))))))))))))))))))))))))))))))))))))</f>
        <v>5</v>
      </c>
      <c r="L135" s="32">
        <f>IF(J135="syllables",1,IF(J135="trigrams",1,IF(J135="strings",1,IF(J135="visual array",1,IF(J135="characters",1,IF(J135="letters",1,IF(J135="free forms",1,IF(J135="odors",2,IF(J135="words",2,IF(J135="pictures",2,IF(J135="object pictures",2,IF(J135="faces",2,IF(J135="names",2,IF(J135="idioms","2",IF(J135="grades",2,IF(J135="syllable-digit pairs",3,IF(J135="trigram-word pairs",3,IF(J135="word-digit pairs",3,IF(J135="English-Swahili pairs",3,IF(J135="spatial position",3,IF(J135="word pairs",4,IF(J135="word triads",4,IF(J135="generated words",4,IF(J135="word definition pairs",4,IF(J135="math problems",4,IF(J135="famous faces",4,IF(J135="famous names",4,IF(J135="famous voices",4,IF(J135="television programs",4,IF(J135="race horses",4,IF(J135="new vocabulary",4,IF(J135="sentences",5,IF(J135="concepts",5,IF(J135="ad slides",5,IF(J135="scenes",5,IF(J135="famous scenes",5,IF(J135="poems",6,IF(J135="walk",6,IF(J135="faces and events",6,IF(J135="events and names",6,IF(J135="flashbulb",7,IF(J135="stories",7,IF(J135="course material",7,IF(J135="autobiographical",7,IF(J135="novels",7,IF(J135="public events",7,"99"))))))))))))))))))))))))))))))))))))))))))))))</f>
        <v>1</v>
      </c>
      <c r="M135" s="36">
        <v>0</v>
      </c>
      <c r="N135" s="31">
        <v>1</v>
      </c>
      <c r="O135" s="31">
        <v>0</v>
      </c>
      <c r="P135" s="31"/>
      <c r="Q135" s="31" t="s">
        <v>18</v>
      </c>
      <c r="R135" s="32">
        <f>IF(Q135="Free Recall",1,IF(Q135="Cued Recall",2,IF(Q135="Recognition",3,IF(Q135="Multiple Choice",4,IF(Q135="Savings",5,IF(Q135="Stem Completion",6,IF(Q135="Fragment Completion",7,IF(Q135="anagram solution",8,IF(Q135="Matching",9,IF(Q135="Problem Solving",10,"99"))))))))))</f>
        <v>3</v>
      </c>
      <c r="S135" s="31" t="s">
        <v>196</v>
      </c>
      <c r="T135" s="31" t="s">
        <v>132</v>
      </c>
      <c r="U135" s="32">
        <f>IF(T135="within",1,0)</f>
        <v>1</v>
      </c>
      <c r="V135" s="31">
        <v>65</v>
      </c>
      <c r="W135" s="32">
        <f>F135*V135</f>
        <v>845</v>
      </c>
      <c r="X135" s="32">
        <v>6</v>
      </c>
      <c r="Y135" s="41">
        <f>AV134</f>
        <v>300</v>
      </c>
      <c r="Z135" s="36" t="s">
        <v>40</v>
      </c>
      <c r="AA135" s="31">
        <f>2*24*3600</f>
        <v>172800</v>
      </c>
      <c r="AB135" s="32" t="str">
        <f>IF(AA135&lt;60,"1",IF(AA135&lt;=43200,"2",IF(AA135&lt;=777600,"3","4")))</f>
        <v>3</v>
      </c>
      <c r="AC135" s="28">
        <f>AVERAGE(AV134:DA134)</f>
        <v>48850</v>
      </c>
      <c r="AD135" s="32" t="str">
        <f>IF(AC135&lt;60,"1",IF(AC135&lt;=43200,"2",IF(AC135&lt;=777600,"3","4")))</f>
        <v>3</v>
      </c>
      <c r="AE135" s="41">
        <f>AA135-Y135</f>
        <v>172500</v>
      </c>
      <c r="AF135" s="45">
        <f>AV135</f>
        <v>0.9157755150253537</v>
      </c>
      <c r="AG135" s="30">
        <f>((AW135-AV135)+(AX135-AW135)+(AY135-AX135)+(AZ135-AY135)+(BA135-AZ135))/5</f>
        <v>-1.9390815301438779E-2</v>
      </c>
      <c r="AI135" s="28">
        <f>RSQ(AV135:BA135,AV134:BA134)</f>
        <v>1.4720725998657761E-2</v>
      </c>
      <c r="AJ135" s="51">
        <f>SLOPE(AV135:BA135,AV134:BA134)</f>
        <v>-3.7376566573991757E-7</v>
      </c>
      <c r="AK135" s="28">
        <f>INTERCEPT(AV135:BA135,AV134:BA134)</f>
        <v>0.88344373006700128</v>
      </c>
      <c r="AL135" s="28">
        <f>INDEX(LINEST(LN(AV135:BA135),LN(AV134:BA134),TRUE,TRUE),3,1)</f>
        <v>2.7506066497114134E-2</v>
      </c>
      <c r="AM135" s="28">
        <f>INDEX(LINEST(LN(AV135:BA135),LN(AV134:BA134)),1)</f>
        <v>-1.7407171455308845E-2</v>
      </c>
      <c r="AN135" s="28">
        <f>EXP(INDEX(LINEST(LN(AV135:BA135),LN(AV134:BA134)),1,2))</f>
        <v>0.98641367341139974</v>
      </c>
      <c r="AO135" s="47">
        <f>INDEX(LINEST((AV135:BA135),LN(AV134:BA134),TRUE,TRUE),3,1)</f>
        <v>6.1205460201002801E-2</v>
      </c>
      <c r="AP135" s="47">
        <f>INDEX(LINEST((AV135:BA135),LN(AV134:BA134)),1)</f>
        <v>-2.0915903001072954E-2</v>
      </c>
      <c r="AQ135" s="48">
        <f t="shared" ref="AQ135" si="0">INDEX(LINEST(LN(AV135:BA135),SQRT(AV134:BA134),TRUE,TRUE),3,1)</f>
        <v>3.6695245059698068E-3</v>
      </c>
      <c r="AR135" s="56">
        <f t="shared" ref="AR135" si="1">INDEX(LINEST(LN(AV135:BA135),SQRT((AV134:BA134))),1)</f>
        <v>-9.94920645858572E-5</v>
      </c>
      <c r="AS135" s="49">
        <f t="shared" ref="AS135" si="2">INDEX(LINEST(1/(AV135:BA135),1/(SQRT(AV134:BA134)),TRUE,TRUE),3,1)</f>
        <v>4.9667174233963642E-2</v>
      </c>
      <c r="AT135" s="49">
        <f t="shared" ref="AT135" si="3">INDEX(LINEST(1/(AV135:BA135),1/SQRT(AV134:BA134)),1)</f>
        <v>-3.6765436687055315</v>
      </c>
      <c r="AU135" s="3"/>
      <c r="AV135" s="7">
        <v>0.9157755150253537</v>
      </c>
      <c r="AW135" s="7">
        <v>1.1939484408643783</v>
      </c>
      <c r="AX135" s="7">
        <v>0.52831581129696159</v>
      </c>
      <c r="AY135" s="7">
        <v>0.87273950266586819</v>
      </c>
      <c r="AZ135" s="7">
        <v>0.86151095540291656</v>
      </c>
      <c r="BA135" s="7">
        <v>0.81882143851815981</v>
      </c>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11"/>
      <c r="CS135" s="11"/>
      <c r="CT135" s="11"/>
      <c r="CU135" s="11"/>
    </row>
    <row r="136" spans="1:99" ht="12" customHeight="1" x14ac:dyDescent="0.2">
      <c r="A136" s="37">
        <v>43509</v>
      </c>
      <c r="B136" s="11"/>
      <c r="C136" s="11"/>
      <c r="D136" s="31"/>
      <c r="F136" s="31"/>
      <c r="G136" s="31"/>
      <c r="H136" s="31"/>
      <c r="J136" s="31"/>
      <c r="N136" s="31"/>
      <c r="O136" s="31"/>
      <c r="P136" s="31"/>
      <c r="Q136" s="31"/>
      <c r="R136" s="32"/>
      <c r="S136" s="31"/>
      <c r="T136" s="31"/>
      <c r="U136" s="32"/>
      <c r="V136" s="31"/>
      <c r="W136" s="32"/>
      <c r="Y136" s="41"/>
      <c r="AB136" s="32"/>
      <c r="AC136" s="32"/>
      <c r="AD136" s="32"/>
      <c r="AE136" s="32"/>
      <c r="AF136" s="45"/>
      <c r="AG136" s="28"/>
      <c r="AI136" s="27"/>
      <c r="AJ136" s="52"/>
      <c r="AK136" s="27"/>
      <c r="AL136" s="27"/>
      <c r="AM136" s="27"/>
      <c r="AN136" s="27"/>
      <c r="AO136" s="27"/>
      <c r="AP136" s="27"/>
      <c r="AQ136" s="28"/>
      <c r="AR136" s="51"/>
      <c r="AS136" s="28"/>
      <c r="AT136" s="28"/>
      <c r="AU136" s="4"/>
      <c r="AV136" s="24">
        <v>300</v>
      </c>
      <c r="AW136" s="24">
        <v>1200</v>
      </c>
      <c r="AX136" s="24">
        <v>3600</v>
      </c>
      <c r="AY136" s="24">
        <v>28800</v>
      </c>
      <c r="AZ136" s="24">
        <v>86400</v>
      </c>
      <c r="BA136" s="24">
        <v>172800</v>
      </c>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11"/>
      <c r="CS136" s="11"/>
      <c r="CT136" s="11"/>
      <c r="CU136" s="11"/>
    </row>
    <row r="137" spans="1:99" ht="12" customHeight="1" x14ac:dyDescent="0.2">
      <c r="A137" s="37">
        <v>43509</v>
      </c>
      <c r="B137" s="11" t="s">
        <v>161</v>
      </c>
      <c r="C137" s="11" t="s">
        <v>39</v>
      </c>
      <c r="D137" s="31">
        <v>1926</v>
      </c>
      <c r="E137" s="42">
        <v>3</v>
      </c>
      <c r="F137" s="31">
        <v>13</v>
      </c>
      <c r="G137" s="31">
        <v>13</v>
      </c>
      <c r="H137" s="31" t="s">
        <v>15</v>
      </c>
      <c r="J137" s="31" t="s">
        <v>148</v>
      </c>
      <c r="K137" s="32">
        <f>IF(J137="syllables",1,IF(J137="trigrams",2,IF(J137="strings",3,IF(J137="visual array",4,IF(J137="characters",5,IF(J137="letters",6,IF(J137="free forms",7,IF(J137="odors",8,IF(J137="words",9,IF(J137="pictures",10,IF(J137="object pictures",11,IF(J137="faces",12,IF(J137="names",13,IF(J137="idioms",14,IF(J137="grades",15,IF(J137="syllable-digit pairs",16,IF(J137="trigram-word pairs",17,IF(J137="word-digit pairs",18,IF(J137="English-Swahili pairs",19,IF(J137="spatial position",20,IF(J137="word pairs",21,IF(J137="word triads",22,IF(J137="generated words",23,IF(J137="word definition pairs",24,IF(J137="math problems",25,IF(J137="famous faces",26,IF(J137="famous names",27,IF(J137="famous voices",28,IF(J137="television programs",29,IF(J137="race horses",30,IF(J137="new vocabulary",31,IF(J137="sentences",32,IF(J137="concepts",33,IF(J137="ad slides",34,IF(J137="scenes",35,IF(J137="famous scenes",36,IF(J137="poems",37,IF(J137="walk",38,IF(J137="faces and events",39,IF(J137="events and names",40,IF(J137="flashbulb",41,IF(J137="stories",42,IF(J137="course material",43,IF(J137="autobiographical",44,IF(J137="novels",45,IF(J137="public events",46,"99"))))))))))))))))))))))))))))))))))))))))))))))</f>
        <v>5</v>
      </c>
      <c r="L137" s="32">
        <f>IF(J137="syllables",1,IF(J137="trigrams",1,IF(J137="strings",1,IF(J137="visual array",1,IF(J137="characters",1,IF(J137="letters",1,IF(J137="free forms",1,IF(J137="odors",2,IF(J137="words",2,IF(J137="pictures",2,IF(J137="object pictures",2,IF(J137="faces",2,IF(J137="names",2,IF(J137="idioms","2",IF(J137="grades",2,IF(J137="syllable-digit pairs",3,IF(J137="trigram-word pairs",3,IF(J137="word-digit pairs",3,IF(J137="English-Swahili pairs",3,IF(J137="spatial position",3,IF(J137="word pairs",4,IF(J137="word triads",4,IF(J137="generated words",4,IF(J137="word definition pairs",4,IF(J137="math problems",4,IF(J137="famous faces",4,IF(J137="famous names",4,IF(J137="famous voices",4,IF(J137="television programs",4,IF(J137="race horses",4,IF(J137="new vocabulary",4,IF(J137="sentences",5,IF(J137="concepts",5,IF(J137="ad slides",5,IF(J137="scenes",5,IF(J137="famous scenes",5,IF(J137="poems",6,IF(J137="walk",6,IF(J137="faces and events",6,IF(J137="events and names",6,IF(J137="flashbulb",7,IF(J137="stories",7,IF(J137="course material",7,IF(J137="autobiographical",7,IF(J137="novels",7,IF(J137="public events",7,"99"))))))))))))))))))))))))))))))))))))))))))))))</f>
        <v>1</v>
      </c>
      <c r="M137" s="36">
        <v>0</v>
      </c>
      <c r="N137" s="31">
        <v>1</v>
      </c>
      <c r="O137" s="31">
        <v>0</v>
      </c>
      <c r="P137" s="31"/>
      <c r="Q137" s="31" t="s">
        <v>18</v>
      </c>
      <c r="R137" s="32">
        <f>IF(Q137="Free Recall",1,IF(Q137="Cued Recall",2,IF(Q137="Recognition",3,IF(Q137="Multiple Choice",4,IF(Q137="Savings",5,IF(Q137="Stem Completion",6,IF(Q137="Fragment Completion",7,IF(Q137="anagram solution",8,IF(Q137="Matching",9,IF(Q137="Problem Solving",10,"99"))))))))))</f>
        <v>3</v>
      </c>
      <c r="S137" s="31" t="s">
        <v>196</v>
      </c>
      <c r="T137" s="31" t="s">
        <v>132</v>
      </c>
      <c r="U137" s="32">
        <f>IF(T137="within",1,0)</f>
        <v>1</v>
      </c>
      <c r="V137" s="31">
        <v>65</v>
      </c>
      <c r="W137" s="32">
        <f>F137*V137</f>
        <v>845</v>
      </c>
      <c r="X137" s="32">
        <v>6</v>
      </c>
      <c r="Y137" s="41">
        <f>AV136</f>
        <v>300</v>
      </c>
      <c r="Z137" s="36" t="s">
        <v>40</v>
      </c>
      <c r="AA137" s="31">
        <f>2*24*3600</f>
        <v>172800</v>
      </c>
      <c r="AB137" s="32" t="str">
        <f>IF(AA137&lt;60,"1",IF(AA137&lt;=43200,"2",IF(AA137&lt;=777600,"3","4")))</f>
        <v>3</v>
      </c>
      <c r="AC137" s="28">
        <f>AVERAGE(AV136:DA136)</f>
        <v>48850</v>
      </c>
      <c r="AD137" s="32" t="str">
        <f>IF(AC137&lt;60,"1",IF(AC137&lt;=43200,"2",IF(AC137&lt;=777600,"3","4")))</f>
        <v>3</v>
      </c>
      <c r="AE137" s="41">
        <f>AA137-Y137</f>
        <v>172500</v>
      </c>
      <c r="AF137" s="45">
        <f>AV137</f>
        <v>1.7317273599228642</v>
      </c>
      <c r="AG137" s="28">
        <f>((AW137-AV137)+(AX137-AW137)+(AY137-AX137)+(AZ137-AY137)+(BA137-AZ137))/5</f>
        <v>-0.23786425877911768</v>
      </c>
      <c r="AI137" s="28">
        <f>RSQ(AV137:BA137,AV136:BA136)</f>
        <v>0.1979345059666891</v>
      </c>
      <c r="AJ137" s="51">
        <f>SLOPE(AV137:BA137,AV136:BA136)</f>
        <v>-2.9597839200639901E-6</v>
      </c>
      <c r="AK137" s="28">
        <f>INTERCEPT(AV137:BA137,AV136:BA136)</f>
        <v>1.0165632213580145</v>
      </c>
      <c r="AL137" s="28">
        <f>INDEX(LINEST(LN(AV137:BA137),LN(AV136:BA136),TRUE,TRUE),3,1)</f>
        <v>0.57336786354811653</v>
      </c>
      <c r="AM137" s="28">
        <f>INDEX(LINEST(LN(AV137:BA137),LN(AV136:BA136)),1)</f>
        <v>-0.13911314913587569</v>
      </c>
      <c r="AN137" s="28">
        <f>EXP(INDEX(LINEST(LN(AV137:BA137),LN(AV136:BA136)),1,2))</f>
        <v>2.8121538011150662</v>
      </c>
      <c r="AO137" s="47">
        <f>INDEX(LINEST((AV137:BA137),LN(AV136:BA136),TRUE,TRUE),3,1)</f>
        <v>0.57847379295122114</v>
      </c>
      <c r="AP137" s="47">
        <f>INDEX(LINEST((AV137:BA137),LN(AV136:BA136)),1)</f>
        <v>-0.13886341464586405</v>
      </c>
      <c r="AQ137" s="48">
        <f t="shared" ref="AQ137" si="4">INDEX(LINEST(LN(AV137:BA137),SQRT(AV136:BA136),TRUE,TRUE),3,1)</f>
        <v>0.31670889799650409</v>
      </c>
      <c r="AR137" s="56">
        <f t="shared" ref="AR137" si="5">INDEX(LINEST(LN(AV137:BA137),SQRT((AV136:BA136))),1)</f>
        <v>-1.6178983231067545E-3</v>
      </c>
      <c r="AS137" s="49">
        <f t="shared" ref="AS137" si="6">INDEX(LINEST(1/(AV137:BA137),1/(SQRT(AV136:BA136)),TRUE,TRUE),3,1)</f>
        <v>0.68714276933310992</v>
      </c>
      <c r="AT137" s="49">
        <f t="shared" ref="AT137" si="7">INDEX(LINEST(1/(AV137:BA137),1/SQRT(AV136:BA136)),1)</f>
        <v>-20.924251097310336</v>
      </c>
      <c r="AU137" s="3"/>
      <c r="AV137" s="7">
        <v>1.7317273599228642</v>
      </c>
      <c r="AW137" s="7">
        <v>0.97872958014697664</v>
      </c>
      <c r="AX137" s="7">
        <v>0.63788189927533845</v>
      </c>
      <c r="AY137" s="7">
        <v>0.49665919402480874</v>
      </c>
      <c r="AZ137" s="7">
        <v>0.84446256178006684</v>
      </c>
      <c r="BA137" s="7">
        <v>0.54240606602727592</v>
      </c>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11"/>
      <c r="CS137" s="11"/>
      <c r="CT137" s="11"/>
      <c r="CU137" s="11"/>
    </row>
    <row r="138" spans="1:99" s="89" customFormat="1" ht="12" customHeight="1" x14ac:dyDescent="0.2">
      <c r="A138" s="78"/>
      <c r="B138" s="79"/>
      <c r="C138" s="79"/>
      <c r="D138" s="80"/>
      <c r="E138" s="81"/>
      <c r="F138" s="80"/>
      <c r="G138" s="80"/>
      <c r="H138" s="80"/>
      <c r="I138" s="80"/>
      <c r="J138" s="80"/>
      <c r="K138" s="80"/>
      <c r="L138" s="80"/>
      <c r="M138" s="80"/>
      <c r="N138" s="80"/>
      <c r="O138" s="80"/>
      <c r="P138" s="80"/>
      <c r="Q138" s="80"/>
      <c r="R138" s="80"/>
      <c r="S138" s="80"/>
      <c r="T138" s="80"/>
      <c r="U138" s="80"/>
      <c r="V138" s="80"/>
      <c r="W138" s="80"/>
      <c r="X138" s="80"/>
      <c r="Y138" s="81"/>
      <c r="Z138" s="80"/>
      <c r="AA138" s="80"/>
      <c r="AB138" s="80"/>
      <c r="AC138" s="80"/>
      <c r="AD138" s="80"/>
      <c r="AE138" s="80"/>
      <c r="AF138" s="82"/>
      <c r="AG138" s="83"/>
      <c r="AH138" s="84"/>
      <c r="AI138" s="83"/>
      <c r="AJ138" s="86"/>
      <c r="AK138" s="83"/>
      <c r="AL138" s="83"/>
      <c r="AM138" s="83"/>
      <c r="AN138" s="83"/>
      <c r="AO138" s="83"/>
      <c r="AP138" s="83"/>
      <c r="AQ138" s="83"/>
      <c r="AR138" s="86"/>
      <c r="AS138" s="83"/>
      <c r="AT138" s="83"/>
      <c r="AU138" s="84"/>
      <c r="AV138" s="87"/>
      <c r="AW138" s="87"/>
      <c r="AX138" s="87"/>
      <c r="AY138" s="87"/>
      <c r="AZ138" s="87"/>
      <c r="BA138" s="87"/>
      <c r="BB138" s="87"/>
      <c r="BC138" s="88"/>
      <c r="BD138" s="88"/>
      <c r="BE138" s="88"/>
      <c r="BF138" s="88"/>
      <c r="BG138" s="88"/>
      <c r="BH138" s="88"/>
      <c r="BI138" s="88"/>
      <c r="BJ138" s="88"/>
      <c r="BK138" s="87"/>
      <c r="BL138" s="87"/>
      <c r="BM138" s="87"/>
      <c r="BN138" s="87"/>
      <c r="BO138" s="87"/>
      <c r="BP138" s="87"/>
      <c r="BQ138" s="87"/>
      <c r="BR138" s="87"/>
      <c r="BS138" s="87"/>
      <c r="BT138" s="87"/>
      <c r="BU138" s="87"/>
      <c r="BV138" s="87"/>
      <c r="BW138" s="87"/>
      <c r="BX138" s="87"/>
      <c r="BY138" s="87"/>
      <c r="BZ138" s="87"/>
      <c r="CA138" s="87"/>
      <c r="CB138" s="87"/>
      <c r="CC138" s="87"/>
      <c r="CD138" s="87"/>
      <c r="CE138" s="87"/>
      <c r="CF138" s="87"/>
      <c r="CG138" s="87"/>
      <c r="CH138" s="87"/>
      <c r="CI138" s="87"/>
      <c r="CJ138" s="87"/>
      <c r="CK138" s="87"/>
      <c r="CL138" s="87"/>
      <c r="CM138" s="87"/>
      <c r="CN138" s="87"/>
      <c r="CO138" s="87"/>
      <c r="CP138" s="87"/>
      <c r="CQ138" s="87"/>
      <c r="CR138" s="79"/>
      <c r="CS138" s="79"/>
      <c r="CT138" s="79"/>
      <c r="CU138" s="79"/>
    </row>
    <row r="139" spans="1:99" ht="12" customHeight="1" x14ac:dyDescent="0.2">
      <c r="D139" s="36">
        <f>AVERAGE(D6:D138)</f>
        <v>1987.0151515151515</v>
      </c>
      <c r="F139" s="36">
        <f>AVERAGE(F6:F138)</f>
        <v>40.18181818181818</v>
      </c>
      <c r="G139" s="36">
        <f>AVERAGE(G6:G138)</f>
        <v>21.25</v>
      </c>
      <c r="K139" s="32"/>
      <c r="L139" s="36">
        <f>COUNTIF(L6:L138,"1")</f>
        <v>17</v>
      </c>
      <c r="M139" s="36">
        <f>COUNTIF(M6:M138,0)</f>
        <v>34</v>
      </c>
      <c r="N139" s="36">
        <f>COUNTIF(N6:N138,"1")</f>
        <v>44</v>
      </c>
      <c r="O139" s="36">
        <f>COUNTIF(O6:O138,0)</f>
        <v>34</v>
      </c>
      <c r="Q139" s="36">
        <f>COUNTIF(Q6:Q138,"Free Recall")</f>
        <v>0</v>
      </c>
      <c r="R139" s="32"/>
      <c r="T139" s="36">
        <f>COUNTIF(T6:T138,"within")</f>
        <v>46</v>
      </c>
      <c r="U139" s="32"/>
      <c r="V139" s="36">
        <f>AVERAGE(V6:V138)</f>
        <v>193.65151515151516</v>
      </c>
      <c r="W139" s="36">
        <f>AVERAGE(W6:W138)</f>
        <v>4319.757575757576</v>
      </c>
      <c r="X139" s="36">
        <f>AVERAGE(X6:X138)</f>
        <v>5.7424242424242422</v>
      </c>
      <c r="Y139" s="36">
        <f>AVERAGE(Y6:Y138)</f>
        <v>186395.58363636362</v>
      </c>
      <c r="AA139" s="36">
        <f>AVERAGE(AA6:AA138)</f>
        <v>3273748.5106060603</v>
      </c>
      <c r="AB139" s="32"/>
      <c r="AC139" s="36">
        <f>AVERAGE(AC6:AC138)</f>
        <v>1253179.3563708514</v>
      </c>
      <c r="AD139" s="32"/>
      <c r="AE139" s="42">
        <f>AVERAGE(AE6:AE138)</f>
        <v>3087352.9269696968</v>
      </c>
      <c r="AF139" s="29">
        <f>AVERAGE(AF6:AF138)</f>
        <v>2.4284158024375886</v>
      </c>
      <c r="AG139" s="29">
        <f>AVERAGE(AG6:AG138)</f>
        <v>-0.33113814181261481</v>
      </c>
    </row>
    <row r="140" spans="1:99" ht="12" customHeight="1" x14ac:dyDescent="0.2">
      <c r="D140" s="36">
        <f>MEDIAN(D6:D138)</f>
        <v>1988</v>
      </c>
      <c r="F140" s="36">
        <f>MEDIAN(F6:F138)</f>
        <v>29.5</v>
      </c>
      <c r="G140" s="36">
        <f>MEDIAN(G6:G138)</f>
        <v>17</v>
      </c>
      <c r="L140" s="36">
        <f>COUNTIF(L6:L138,"2")</f>
        <v>32</v>
      </c>
      <c r="M140" s="36">
        <f>COUNTIF(M6:M138,1)</f>
        <v>9</v>
      </c>
      <c r="N140" s="36">
        <f>COUNTIF(N6:N138,"2")</f>
        <v>5</v>
      </c>
      <c r="O140" s="36">
        <f>COUNTIF(O6:O138,1)</f>
        <v>9</v>
      </c>
      <c r="Q140" s="36">
        <f>COUNTIF(Q6:Q138,"Cued Recall")</f>
        <v>0</v>
      </c>
      <c r="R140" s="32"/>
      <c r="T140" s="36">
        <f>COUNTIF(T6:T138,"between")</f>
        <v>20</v>
      </c>
      <c r="V140" s="36">
        <f>MEDIAN(V6:V138)</f>
        <v>65</v>
      </c>
      <c r="W140" s="36">
        <f>MEDIAN(W6:W138)</f>
        <v>2736</v>
      </c>
      <c r="X140" s="36">
        <f>MEDIAN(X6:X138)</f>
        <v>4</v>
      </c>
      <c r="Y140" s="36">
        <f>MEDIAN(Y6:Y138)</f>
        <v>210</v>
      </c>
      <c r="AA140" s="36">
        <f>MEDIAN(AA6:AA138)</f>
        <v>172800</v>
      </c>
      <c r="AB140" s="32"/>
      <c r="AC140" s="36">
        <f>MEDIAN(AC6:AC138)</f>
        <v>48850</v>
      </c>
      <c r="AD140" s="32"/>
      <c r="AE140" s="36">
        <f>MEDIAN(AE6:AE138)</f>
        <v>170850</v>
      </c>
      <c r="AF140" s="36">
        <f>MEDIAN(AF6:AF138)</f>
        <v>1.9689732735392778</v>
      </c>
      <c r="AG140" s="36">
        <f>MEDIAN(AG6:AG138)</f>
        <v>-0.24006306998774327</v>
      </c>
    </row>
    <row r="141" spans="1:99" ht="12" customHeight="1" x14ac:dyDescent="0.2">
      <c r="D141" s="36">
        <f>MIN(D6:D138)</f>
        <v>1913</v>
      </c>
      <c r="F141" s="36">
        <f>MIN(F6:F138)</f>
        <v>4</v>
      </c>
      <c r="G141" s="36">
        <f>MIN(G6:G138)</f>
        <v>4</v>
      </c>
      <c r="K141" s="32"/>
      <c r="L141" s="36">
        <f>COUNTIF(L6:L138,"3")</f>
        <v>0</v>
      </c>
      <c r="N141" s="36">
        <f>COUNTIF(N6:N138,"3")</f>
        <v>14</v>
      </c>
      <c r="Q141" s="36">
        <f>COUNTIF(Q6:Q138,"Recognition")</f>
        <v>66</v>
      </c>
      <c r="R141" s="32"/>
      <c r="V141" s="36">
        <f>MIN(V6:V138)</f>
        <v>15</v>
      </c>
      <c r="W141" s="36">
        <f>MIN(W6:W138)</f>
        <v>60</v>
      </c>
      <c r="X141" s="36">
        <f>MIN(X6:X138)</f>
        <v>3</v>
      </c>
      <c r="Y141" s="36">
        <f>MIN(Y6:Y138)</f>
        <v>0.5</v>
      </c>
      <c r="AA141" s="36">
        <f>MIN(AA6:AA138)</f>
        <v>5.9</v>
      </c>
      <c r="AB141" s="32"/>
      <c r="AC141" s="36">
        <f>MIN(AC6:AC138)</f>
        <v>3.5</v>
      </c>
      <c r="AD141" s="32"/>
      <c r="AE141" s="36">
        <f>MIN(AE6:AE138)</f>
        <v>4.4000000000000004</v>
      </c>
      <c r="AF141" s="36">
        <f>MIN(AF6:AF138)</f>
        <v>0.58367181086701547</v>
      </c>
      <c r="AG141" s="36">
        <f>MIN(AG6:AG138)</f>
        <v>-1.1846389675437345</v>
      </c>
    </row>
    <row r="142" spans="1:99" ht="12" customHeight="1" x14ac:dyDescent="0.2">
      <c r="D142" s="36">
        <f>MAX(D6:D138)</f>
        <v>2020</v>
      </c>
      <c r="F142" s="36">
        <f>MAX(F6:F138)</f>
        <v>200</v>
      </c>
      <c r="G142" s="36">
        <f>MAX(G6:G138)</f>
        <v>70</v>
      </c>
      <c r="L142" s="36">
        <f>COUNTIF(L6:L138,"4")</f>
        <v>5</v>
      </c>
      <c r="N142" s="36">
        <f>COUNTIF(N6:N138,"4")</f>
        <v>3</v>
      </c>
      <c r="Q142" s="36">
        <f>COUNTIF(Q6:Q138,"Multiple Choice")</f>
        <v>0</v>
      </c>
      <c r="R142" s="32"/>
      <c r="V142" s="36">
        <f>MAX(V6:V138)</f>
        <v>900</v>
      </c>
      <c r="W142" s="36">
        <f>MAX(W6:W138)</f>
        <v>20736</v>
      </c>
      <c r="X142" s="36">
        <f>MAX(X6:X138)</f>
        <v>15</v>
      </c>
      <c r="Y142" s="36">
        <f>MAX(Y6:Y138)</f>
        <v>6048000</v>
      </c>
      <c r="AA142" s="36">
        <f>MAX(AA6:AA138)</f>
        <v>66528000</v>
      </c>
      <c r="AB142" s="32"/>
      <c r="AC142" s="36">
        <f>MAX(AC6:AC138)</f>
        <v>27216000</v>
      </c>
      <c r="AD142" s="32"/>
      <c r="AE142" s="36">
        <f>MAX(AE6:AE138)</f>
        <v>60480000</v>
      </c>
      <c r="AF142" s="29">
        <f>MAX(AF6:AF138)</f>
        <v>7.0797721828637394</v>
      </c>
      <c r="AG142" s="29">
        <f>MAX(AG6:AG138)</f>
        <v>-9.0316243254996431E-3</v>
      </c>
    </row>
    <row r="143" spans="1:99" ht="12" customHeight="1" x14ac:dyDescent="0.2">
      <c r="D143" s="36">
        <f xml:space="preserve"> STDEV(D6:D138)/SQRT(COUNT(D6:D138))</f>
        <v>3.1015066963535012</v>
      </c>
      <c r="F143" s="36">
        <f xml:space="preserve"> STDEV(F6:F138)/SQRT(COUNT(F6:F138))</f>
        <v>4.9022096293244193</v>
      </c>
      <c r="G143" s="36">
        <f xml:space="preserve"> STDEV(G6:G138)/SQRT(COUNT(G6:G138))</f>
        <v>1.8296639481528196</v>
      </c>
      <c r="K143" s="32"/>
      <c r="L143" s="36">
        <f>COUNTIF(L6:L138,"5")</f>
        <v>5</v>
      </c>
      <c r="Q143" s="36">
        <f>COUNTIF(Q6:Q138,"Savings")</f>
        <v>0</v>
      </c>
      <c r="R143" s="32"/>
      <c r="V143" s="36">
        <f xml:space="preserve"> STDEV(V6:V138)/SQRT(COUNT(V6:V138))</f>
        <v>24.649198367313325</v>
      </c>
      <c r="W143" s="36">
        <f xml:space="preserve"> STDEV(W6:W138)/SQRT(COUNT(W6:W138))</f>
        <v>593.91402690703126</v>
      </c>
      <c r="X143" s="36">
        <f xml:space="preserve"> STDEV(X6:X138)/SQRT(COUNT(X6:X138))</f>
        <v>0.44789619908686396</v>
      </c>
      <c r="Y143" s="36">
        <f xml:space="preserve"> STDEV(Y6:Y138)/SQRT(COUNT(Y6:Y138))</f>
        <v>128537.18544817677</v>
      </c>
      <c r="AA143" s="36">
        <f xml:space="preserve"> STDEV(AA6:AA138)/SQRT(COUNT(AA6:AA138))</f>
        <v>1411990.9249341674</v>
      </c>
      <c r="AB143" s="32"/>
      <c r="AC143" s="36">
        <f xml:space="preserve"> STDEV(AC6:AC138)/SQRT(COUNT(AC6:AC138))</f>
        <v>576632.27030136227</v>
      </c>
      <c r="AD143" s="32"/>
      <c r="AE143" s="36">
        <f xml:space="preserve"> STDEV(AE6:AE138)/SQRT(COUNT(AE6:AE138))</f>
        <v>1285772.5397421212</v>
      </c>
      <c r="AF143" s="36">
        <f xml:space="preserve"> STDEV(AF6:AF138)/SQRT(COUNT(AF6:AF138))</f>
        <v>0.16080202196188101</v>
      </c>
      <c r="AG143" s="36">
        <f xml:space="preserve"> STDEV(AG6:AG138)/SQRT(COUNT(AG6:AG138))</f>
        <v>3.3590540447606052E-2</v>
      </c>
    </row>
    <row r="144" spans="1:99" ht="12" customHeight="1" x14ac:dyDescent="0.2">
      <c r="L144" s="36">
        <f>COUNTIF(L6:L138,"6")</f>
        <v>0</v>
      </c>
      <c r="Q144" s="36">
        <f>COUNTIF(Q6:Q138,"Stem Completion")</f>
        <v>0</v>
      </c>
      <c r="R144" s="32"/>
      <c r="W144" s="32"/>
      <c r="Y144" s="41"/>
      <c r="AB144" s="32"/>
      <c r="AD144" s="32"/>
      <c r="AE144" s="32"/>
      <c r="AF144" s="45"/>
    </row>
    <row r="145" spans="11:32" ht="12" customHeight="1" x14ac:dyDescent="0.2">
      <c r="K145" s="32"/>
      <c r="L145" s="36">
        <f>COUNTIF(L6:L138,"7")</f>
        <v>5</v>
      </c>
      <c r="Q145" s="36">
        <f>COUNTIF(Q6:Q138,"Fragment Completion")</f>
        <v>0</v>
      </c>
      <c r="R145" s="32"/>
      <c r="W145" s="32"/>
      <c r="X145" s="42"/>
      <c r="Y145" s="41"/>
      <c r="AB145" s="32"/>
      <c r="AC145" s="42"/>
      <c r="AD145" s="32"/>
      <c r="AE145" s="41"/>
      <c r="AF145" s="45"/>
    </row>
    <row r="146" spans="11:32" ht="12" customHeight="1" x14ac:dyDescent="0.2">
      <c r="Q146" s="36">
        <f>COUNTIF(Q6:Q138,"anagram solution")</f>
        <v>0</v>
      </c>
      <c r="R146" s="32"/>
      <c r="W146" s="32"/>
      <c r="Y146" s="41"/>
      <c r="AB146" s="32"/>
      <c r="AD146" s="32"/>
      <c r="AE146" s="32"/>
      <c r="AF146" s="45"/>
    </row>
    <row r="147" spans="11:32" ht="12" customHeight="1" x14ac:dyDescent="0.2">
      <c r="K147" s="32"/>
      <c r="L147" s="32"/>
      <c r="Q147" s="36">
        <f>COUNTIF(Q6:Q138,"matching")</f>
        <v>0</v>
      </c>
      <c r="R147" s="32"/>
      <c r="W147" s="32"/>
      <c r="Y147" s="41"/>
      <c r="AB147" s="32"/>
      <c r="AE147" s="41"/>
      <c r="AF147" s="45"/>
    </row>
    <row r="148" spans="11:32" ht="12" customHeight="1" x14ac:dyDescent="0.2">
      <c r="Q148" s="36">
        <f>COUNTIF(Q6:Q138,"problem solving")</f>
        <v>0</v>
      </c>
      <c r="R148" s="32"/>
      <c r="W148" s="32"/>
      <c r="Y148" s="41"/>
      <c r="AB148" s="32"/>
      <c r="AE148" s="32"/>
      <c r="AF148" s="45"/>
    </row>
    <row r="149" spans="11:32" ht="12" customHeight="1" x14ac:dyDescent="0.2">
      <c r="K149" s="32"/>
      <c r="L149" s="32"/>
      <c r="Q149" s="36">
        <f>COUNTIF(Q6:Q138,"source monitoring")</f>
        <v>0</v>
      </c>
      <c r="R149" s="32"/>
      <c r="W149" s="32"/>
      <c r="Y149" s="41"/>
      <c r="AB149" s="32"/>
      <c r="AE149" s="41"/>
      <c r="AF149" s="45"/>
    </row>
    <row r="150" spans="11:32" ht="12" customHeight="1" x14ac:dyDescent="0.2">
      <c r="R150" s="32"/>
      <c r="W150" s="32"/>
      <c r="Y150" s="41"/>
      <c r="AB150" s="32"/>
      <c r="AE150" s="32"/>
      <c r="AF150" s="45"/>
    </row>
    <row r="151" spans="11:32" ht="12" customHeight="1" x14ac:dyDescent="0.2">
      <c r="K151" s="32"/>
      <c r="L151" s="32"/>
      <c r="R151" s="32"/>
      <c r="W151" s="32"/>
      <c r="Y151" s="41"/>
      <c r="AB151" s="32"/>
      <c r="AE151" s="41"/>
      <c r="AF151" s="45"/>
    </row>
    <row r="152" spans="11:32" ht="12" customHeight="1" x14ac:dyDescent="0.2">
      <c r="R152" s="32"/>
      <c r="W152" s="32"/>
      <c r="Y152" s="41"/>
      <c r="AB152" s="32"/>
      <c r="AE152" s="32"/>
      <c r="AF152" s="45"/>
    </row>
    <row r="153" spans="11:32" ht="12" customHeight="1" x14ac:dyDescent="0.2">
      <c r="K153" s="32"/>
      <c r="L153" s="32"/>
      <c r="R153" s="32"/>
      <c r="W153" s="32"/>
      <c r="Y153" s="41"/>
      <c r="AB153" s="32"/>
      <c r="AE153" s="41"/>
      <c r="AF153" s="45"/>
    </row>
    <row r="154" spans="11:32" ht="12" customHeight="1" x14ac:dyDescent="0.2">
      <c r="R154" s="32"/>
      <c r="W154" s="32"/>
      <c r="Y154" s="41"/>
      <c r="AB154" s="32"/>
      <c r="AE154" s="32"/>
      <c r="AF154" s="45"/>
    </row>
    <row r="155" spans="11:32" ht="12" customHeight="1" x14ac:dyDescent="0.2">
      <c r="K155" s="32"/>
      <c r="L155" s="32"/>
      <c r="R155" s="32"/>
      <c r="W155" s="32"/>
      <c r="Y155" s="41"/>
      <c r="AB155" s="32"/>
      <c r="AE155" s="41"/>
      <c r="AF155" s="45"/>
    </row>
    <row r="156" spans="11:32" ht="12" customHeight="1" x14ac:dyDescent="0.2">
      <c r="R156" s="32"/>
      <c r="W156" s="32"/>
      <c r="Y156" s="41"/>
      <c r="AB156" s="32"/>
      <c r="AE156" s="32"/>
      <c r="AF156" s="45"/>
    </row>
    <row r="157" spans="11:32" ht="12" customHeight="1" x14ac:dyDescent="0.2">
      <c r="K157" s="32"/>
      <c r="L157" s="32"/>
      <c r="R157" s="32"/>
      <c r="W157" s="32"/>
      <c r="Y157" s="41"/>
      <c r="AB157" s="32"/>
      <c r="AE157" s="41"/>
      <c r="AF157" s="45"/>
    </row>
    <row r="158" spans="11:32" ht="12" customHeight="1" x14ac:dyDescent="0.2">
      <c r="R158" s="32"/>
      <c r="W158" s="32"/>
      <c r="Y158" s="41"/>
      <c r="AB158" s="32"/>
      <c r="AE158" s="32"/>
      <c r="AF158" s="45"/>
    </row>
    <row r="159" spans="11:32" ht="12" customHeight="1" x14ac:dyDescent="0.2">
      <c r="K159" s="32"/>
      <c r="L159" s="32"/>
      <c r="R159" s="32"/>
      <c r="W159" s="32"/>
      <c r="Y159" s="41"/>
      <c r="AB159" s="32"/>
      <c r="AE159" s="41"/>
      <c r="AF159" s="45"/>
    </row>
    <row r="160" spans="11:32" ht="12" customHeight="1" x14ac:dyDescent="0.2">
      <c r="R160" s="32"/>
      <c r="W160" s="32"/>
      <c r="Y160" s="41"/>
      <c r="AB160" s="32"/>
      <c r="AE160" s="32"/>
      <c r="AF160" s="45"/>
    </row>
    <row r="161" spans="11:32" ht="12" customHeight="1" x14ac:dyDescent="0.2">
      <c r="K161" s="32"/>
      <c r="L161" s="32"/>
      <c r="R161" s="32"/>
      <c r="W161" s="32"/>
      <c r="Y161" s="41"/>
      <c r="AB161" s="32"/>
      <c r="AE161" s="41"/>
      <c r="AF161" s="45"/>
    </row>
    <row r="162" spans="11:32" ht="12" customHeight="1" x14ac:dyDescent="0.2">
      <c r="R162" s="32"/>
      <c r="W162" s="32"/>
      <c r="Y162" s="41"/>
      <c r="AB162" s="32"/>
      <c r="AE162" s="32"/>
      <c r="AF162" s="45"/>
    </row>
    <row r="163" spans="11:32" ht="12" customHeight="1" x14ac:dyDescent="0.2">
      <c r="K163" s="32"/>
      <c r="L163" s="32"/>
      <c r="R163" s="32"/>
      <c r="W163" s="32"/>
      <c r="Y163" s="41"/>
      <c r="AB163" s="32"/>
      <c r="AE163" s="41"/>
      <c r="AF163" s="45"/>
    </row>
    <row r="164" spans="11:32" ht="12" customHeight="1" x14ac:dyDescent="0.2">
      <c r="R164" s="32"/>
      <c r="W164" s="32"/>
      <c r="Y164" s="41"/>
      <c r="AB164" s="32"/>
      <c r="AE164" s="32"/>
      <c r="AF164" s="45"/>
    </row>
    <row r="165" spans="11:32" ht="12" customHeight="1" x14ac:dyDescent="0.2">
      <c r="K165" s="32"/>
      <c r="L165" s="32"/>
      <c r="R165" s="32"/>
      <c r="W165" s="32"/>
      <c r="Y165" s="41"/>
      <c r="AB165" s="32"/>
      <c r="AE165" s="41"/>
      <c r="AF165" s="45"/>
    </row>
    <row r="166" spans="11:32" ht="12" customHeight="1" x14ac:dyDescent="0.2">
      <c r="R166" s="32"/>
      <c r="W166" s="32"/>
      <c r="Y166" s="41"/>
      <c r="AB166" s="32"/>
      <c r="AE166" s="32"/>
      <c r="AF166" s="45"/>
    </row>
    <row r="167" spans="11:32" ht="12" customHeight="1" x14ac:dyDescent="0.2">
      <c r="K167" s="32"/>
      <c r="L167" s="32"/>
      <c r="R167" s="32"/>
      <c r="W167" s="32"/>
      <c r="Y167" s="41"/>
      <c r="AB167" s="32"/>
      <c r="AE167" s="41"/>
      <c r="AF167" s="45"/>
    </row>
    <row r="168" spans="11:32" ht="12" customHeight="1" x14ac:dyDescent="0.2">
      <c r="R168" s="32"/>
      <c r="W168" s="32"/>
      <c r="Y168" s="41"/>
      <c r="AB168" s="32"/>
      <c r="AE168" s="32"/>
      <c r="AF168" s="45"/>
    </row>
    <row r="169" spans="11:32" ht="12" customHeight="1" x14ac:dyDescent="0.2">
      <c r="K169" s="32"/>
      <c r="L169" s="32"/>
      <c r="R169" s="32"/>
      <c r="W169" s="32"/>
      <c r="Y169" s="41"/>
      <c r="AB169" s="32"/>
      <c r="AE169" s="41"/>
      <c r="AF169" s="45"/>
    </row>
    <row r="170" spans="11:32" ht="12" customHeight="1" x14ac:dyDescent="0.2">
      <c r="W170" s="32"/>
      <c r="Y170" s="41"/>
      <c r="AB170" s="32"/>
      <c r="AE170" s="32"/>
      <c r="AF170" s="45"/>
    </row>
    <row r="171" spans="11:32" ht="12" customHeight="1" x14ac:dyDescent="0.2">
      <c r="K171" s="32"/>
      <c r="L171" s="32"/>
      <c r="W171" s="32"/>
      <c r="Y171" s="41"/>
      <c r="AE171" s="41"/>
      <c r="AF171" s="45"/>
    </row>
    <row r="172" spans="11:32" ht="12" customHeight="1" x14ac:dyDescent="0.2">
      <c r="W172" s="32"/>
      <c r="Y172" s="41"/>
      <c r="AE172" s="32"/>
      <c r="AF172" s="45"/>
    </row>
    <row r="173" spans="11:32" ht="12" customHeight="1" x14ac:dyDescent="0.2">
      <c r="K173" s="32"/>
      <c r="L173" s="32"/>
      <c r="W173" s="32"/>
      <c r="Y173" s="41"/>
      <c r="AE173" s="41"/>
      <c r="AF173" s="45"/>
    </row>
    <row r="174" spans="11:32" ht="12" customHeight="1" x14ac:dyDescent="0.2">
      <c r="W174" s="32"/>
      <c r="Y174" s="41"/>
      <c r="AE174" s="32"/>
      <c r="AF174" s="45"/>
    </row>
    <row r="175" spans="11:32" ht="12" customHeight="1" x14ac:dyDescent="0.2">
      <c r="K175" s="32"/>
      <c r="L175" s="32"/>
      <c r="W175" s="32"/>
      <c r="Y175" s="41"/>
      <c r="AE175" s="41"/>
      <c r="AF175" s="45"/>
    </row>
    <row r="176" spans="11:32" ht="12" customHeight="1" x14ac:dyDescent="0.2">
      <c r="W176" s="32"/>
      <c r="Y176" s="41"/>
      <c r="AE176" s="32"/>
      <c r="AF176" s="45"/>
    </row>
    <row r="177" spans="11:32" ht="12" customHeight="1" x14ac:dyDescent="0.2">
      <c r="K177" s="32"/>
      <c r="L177" s="32"/>
      <c r="W177" s="32"/>
      <c r="Y177" s="41"/>
      <c r="AE177" s="41"/>
      <c r="AF177" s="45"/>
    </row>
    <row r="179" spans="11:32" ht="12" customHeight="1" x14ac:dyDescent="0.2">
      <c r="K179" s="32"/>
      <c r="L179" s="32"/>
    </row>
  </sheetData>
  <conditionalFormatting sqref="AC6 AC8 AC16 AC18 AC24 AC32 AC34 AC40 AC42 AC44 AC46 AC48 AC50 AC52 AC54 AC56 AC58 AC60 AC62 AC74 AC76 AC78 AC82 AC84 AC88 AC130 AC132 AC134 AC136 AG6 AG8 AG18 AG16 AG24 AG34 AG32 AG46 AG44 AG42 AG40 AG48 AG62 AG60 AG58 AG56 AG54 AG52 AG50 AG78 AG76 AG74 AG88 AG84 AG82 AG136 AG134 AG132 AG130">
    <cfRule type="expression" dxfId="597" priority="1999">
      <formula>MOD(ROW(),2)=1</formula>
    </cfRule>
  </conditionalFormatting>
  <conditionalFormatting sqref="AC26 AG26">
    <cfRule type="expression" dxfId="596" priority="1582">
      <formula>MOD(ROW(),2)=1</formula>
    </cfRule>
  </conditionalFormatting>
  <conditionalFormatting sqref="AC86 AG86">
    <cfRule type="expression" dxfId="595" priority="1572">
      <formula>MOD(ROW(),2)=1</formula>
    </cfRule>
  </conditionalFormatting>
  <conditionalFormatting sqref="AD6">
    <cfRule type="expression" dxfId="594" priority="1487">
      <formula>MOD(ROW(),2)=1</formula>
    </cfRule>
  </conditionalFormatting>
  <conditionalFormatting sqref="AD8">
    <cfRule type="expression" dxfId="593" priority="1484">
      <formula>MOD(ROW(),2)=1</formula>
    </cfRule>
  </conditionalFormatting>
  <conditionalFormatting sqref="AD10 AD12 AD14">
    <cfRule type="expression" dxfId="592" priority="1483">
      <formula>MOD(ROW(),2)=1</formula>
    </cfRule>
  </conditionalFormatting>
  <conditionalFormatting sqref="AD16 AD18">
    <cfRule type="expression" dxfId="591" priority="1480">
      <formula>MOD(ROW(),2)=1</formula>
    </cfRule>
  </conditionalFormatting>
  <conditionalFormatting sqref="AD24">
    <cfRule type="expression" dxfId="590" priority="1478">
      <formula>MOD(ROW(),2)=1</formula>
    </cfRule>
  </conditionalFormatting>
  <conditionalFormatting sqref="AD40 AD42 AD44 AD46">
    <cfRule type="expression" dxfId="589" priority="1472">
      <formula>MOD(ROW(),2)=1</formula>
    </cfRule>
  </conditionalFormatting>
  <conditionalFormatting sqref="AD58 AD60 AD62">
    <cfRule type="expression" dxfId="588" priority="1470">
      <formula>MOD(ROW(),2)=1</formula>
    </cfRule>
  </conditionalFormatting>
  <conditionalFormatting sqref="AD70 AD72">
    <cfRule type="expression" dxfId="587" priority="1465">
      <formula>MOD(ROW(),2)=1</formula>
    </cfRule>
  </conditionalFormatting>
  <conditionalFormatting sqref="AD74 AD76 AD78 AD80">
    <cfRule type="expression" dxfId="586" priority="1463">
      <formula>MOD(ROW(),2)=1</formula>
    </cfRule>
  </conditionalFormatting>
  <conditionalFormatting sqref="AD88">
    <cfRule type="expression" dxfId="585" priority="1462">
      <formula>MOD(ROW(),2)=1</formula>
    </cfRule>
  </conditionalFormatting>
  <conditionalFormatting sqref="AD140 AD142 AD144">
    <cfRule type="expression" dxfId="584" priority="1457">
      <formula>MOD(ROW(),2)=1</formula>
    </cfRule>
  </conditionalFormatting>
  <conditionalFormatting sqref="Y10">
    <cfRule type="expression" dxfId="583" priority="1371">
      <formula>MOD(ROW(),2)=1</formula>
    </cfRule>
  </conditionalFormatting>
  <conditionalFormatting sqref="Y14">
    <cfRule type="expression" dxfId="582" priority="1370">
      <formula>MOD(ROW(),2)=1</formula>
    </cfRule>
  </conditionalFormatting>
  <conditionalFormatting sqref="Y16">
    <cfRule type="expression" dxfId="581" priority="1340">
      <formula>MOD(ROW(),2)=1</formula>
    </cfRule>
  </conditionalFormatting>
  <conditionalFormatting sqref="Y22">
    <cfRule type="expression" dxfId="580" priority="1334">
      <formula>MOD(ROW(),2)=1</formula>
    </cfRule>
  </conditionalFormatting>
  <conditionalFormatting sqref="Y24">
    <cfRule type="expression" dxfId="579" priority="1325">
      <formula>MOD(ROW(),2)=1</formula>
    </cfRule>
  </conditionalFormatting>
  <conditionalFormatting sqref="Y32">
    <cfRule type="expression" dxfId="578" priority="1278">
      <formula>MOD(ROW(),2)=1</formula>
    </cfRule>
  </conditionalFormatting>
  <conditionalFormatting sqref="Y42">
    <cfRule type="expression" dxfId="577" priority="1251">
      <formula>MOD(ROW(),2)=1</formula>
    </cfRule>
  </conditionalFormatting>
  <conditionalFormatting sqref="Y46">
    <cfRule type="expression" dxfId="576" priority="1250">
      <formula>MOD(ROW(),2)=1</formula>
    </cfRule>
  </conditionalFormatting>
  <conditionalFormatting sqref="Y48">
    <cfRule type="expression" dxfId="575" priority="1243">
      <formula>MOD(ROW(),2)=1</formula>
    </cfRule>
  </conditionalFormatting>
  <conditionalFormatting sqref="Y50">
    <cfRule type="expression" dxfId="574" priority="1233">
      <formula>MOD(ROW(),2)=1</formula>
    </cfRule>
  </conditionalFormatting>
  <conditionalFormatting sqref="Y54">
    <cfRule type="expression" dxfId="573" priority="1232">
      <formula>MOD(ROW(),2)=1</formula>
    </cfRule>
  </conditionalFormatting>
  <conditionalFormatting sqref="Y58">
    <cfRule type="expression" dxfId="572" priority="1231">
      <formula>MOD(ROW(),2)=1</formula>
    </cfRule>
  </conditionalFormatting>
  <conditionalFormatting sqref="Y62">
    <cfRule type="expression" dxfId="571" priority="1230">
      <formula>MOD(ROW(),2)=1</formula>
    </cfRule>
  </conditionalFormatting>
  <conditionalFormatting sqref="Y70">
    <cfRule type="expression" dxfId="570" priority="1174">
      <formula>MOD(ROW(),2)=1</formula>
    </cfRule>
  </conditionalFormatting>
  <conditionalFormatting sqref="Y74">
    <cfRule type="expression" dxfId="569" priority="1152">
      <formula>MOD(ROW(),2)=1</formula>
    </cfRule>
  </conditionalFormatting>
  <conditionalFormatting sqref="Y76">
    <cfRule type="expression" dxfId="568" priority="1151">
      <formula>MOD(ROW(),2)=1</formula>
    </cfRule>
  </conditionalFormatting>
  <conditionalFormatting sqref="Y80">
    <cfRule type="expression" dxfId="567" priority="1150">
      <formula>MOD(ROW(),2)=1</formula>
    </cfRule>
  </conditionalFormatting>
  <conditionalFormatting sqref="Y84">
    <cfRule type="expression" dxfId="566" priority="1144">
      <formula>MOD(ROW(),2)=1</formula>
    </cfRule>
  </conditionalFormatting>
  <conditionalFormatting sqref="Y88">
    <cfRule type="expression" dxfId="565" priority="1142">
      <formula>MOD(ROW(),2)=1</formula>
    </cfRule>
  </conditionalFormatting>
  <conditionalFormatting sqref="Y130">
    <cfRule type="expression" dxfId="564" priority="1114">
      <formula>MOD(ROW(),2)=1</formula>
    </cfRule>
  </conditionalFormatting>
  <conditionalFormatting sqref="Y134">
    <cfRule type="expression" dxfId="563" priority="1113">
      <formula>MOD(ROW(),2)=1</formula>
    </cfRule>
  </conditionalFormatting>
  <conditionalFormatting sqref="Y144">
    <cfRule type="expression" dxfId="562" priority="1106">
      <formula>MOD(ROW(),2)=1</formula>
    </cfRule>
  </conditionalFormatting>
  <conditionalFormatting sqref="Y148">
    <cfRule type="expression" dxfId="561" priority="1105">
      <formula>MOD(ROW(),2)=1</formula>
    </cfRule>
  </conditionalFormatting>
  <conditionalFormatting sqref="Y152">
    <cfRule type="expression" dxfId="560" priority="1104">
      <formula>MOD(ROW(),2)=1</formula>
    </cfRule>
  </conditionalFormatting>
  <conditionalFormatting sqref="Y156">
    <cfRule type="expression" dxfId="559" priority="1103">
      <formula>MOD(ROW(),2)=1</formula>
    </cfRule>
  </conditionalFormatting>
  <conditionalFormatting sqref="Y160">
    <cfRule type="expression" dxfId="558" priority="1102">
      <formula>MOD(ROW(),2)=1</formula>
    </cfRule>
  </conditionalFormatting>
  <conditionalFormatting sqref="Y164">
    <cfRule type="expression" dxfId="557" priority="1101">
      <formula>MOD(ROW(),2)=1</formula>
    </cfRule>
  </conditionalFormatting>
  <conditionalFormatting sqref="Y168">
    <cfRule type="expression" dxfId="556" priority="1100">
      <formula>MOD(ROW(),2)=1</formula>
    </cfRule>
  </conditionalFormatting>
  <conditionalFormatting sqref="Y172">
    <cfRule type="expression" dxfId="555" priority="1099">
      <formula>MOD(ROW(),2)=1</formula>
    </cfRule>
  </conditionalFormatting>
  <conditionalFormatting sqref="Y176">
    <cfRule type="expression" dxfId="554" priority="1098">
      <formula>MOD(ROW(),2)=1</formula>
    </cfRule>
  </conditionalFormatting>
  <conditionalFormatting sqref="W10">
    <cfRule type="expression" dxfId="553" priority="666">
      <formula>MOD(ROW(),2)=1</formula>
    </cfRule>
  </conditionalFormatting>
  <conditionalFormatting sqref="W14">
    <cfRule type="expression" dxfId="552" priority="665">
      <formula>MOD(ROW(),2)=1</formula>
    </cfRule>
  </conditionalFormatting>
  <conditionalFormatting sqref="W16">
    <cfRule type="expression" dxfId="551" priority="635">
      <formula>MOD(ROW(),2)=1</formula>
    </cfRule>
  </conditionalFormatting>
  <conditionalFormatting sqref="W22">
    <cfRule type="expression" dxfId="550" priority="629">
      <formula>MOD(ROW(),2)=1</formula>
    </cfRule>
  </conditionalFormatting>
  <conditionalFormatting sqref="W24">
    <cfRule type="expression" dxfId="549" priority="620">
      <formula>MOD(ROW(),2)=1</formula>
    </cfRule>
  </conditionalFormatting>
  <conditionalFormatting sqref="W32">
    <cfRule type="expression" dxfId="548" priority="573">
      <formula>MOD(ROW(),2)=1</formula>
    </cfRule>
  </conditionalFormatting>
  <conditionalFormatting sqref="W42">
    <cfRule type="expression" dxfId="547" priority="546">
      <formula>MOD(ROW(),2)=1</formula>
    </cfRule>
  </conditionalFormatting>
  <conditionalFormatting sqref="W46">
    <cfRule type="expression" dxfId="546" priority="545">
      <formula>MOD(ROW(),2)=1</formula>
    </cfRule>
  </conditionalFormatting>
  <conditionalFormatting sqref="W48">
    <cfRule type="expression" dxfId="545" priority="538">
      <formula>MOD(ROW(),2)=1</formula>
    </cfRule>
  </conditionalFormatting>
  <conditionalFormatting sqref="W50">
    <cfRule type="expression" dxfId="544" priority="528">
      <formula>MOD(ROW(),2)=1</formula>
    </cfRule>
  </conditionalFormatting>
  <conditionalFormatting sqref="W54">
    <cfRule type="expression" dxfId="543" priority="527">
      <formula>MOD(ROW(),2)=1</formula>
    </cfRule>
  </conditionalFormatting>
  <conditionalFormatting sqref="W58">
    <cfRule type="expression" dxfId="542" priority="526">
      <formula>MOD(ROW(),2)=1</formula>
    </cfRule>
  </conditionalFormatting>
  <conditionalFormatting sqref="W62">
    <cfRule type="expression" dxfId="541" priority="525">
      <formula>MOD(ROW(),2)=1</formula>
    </cfRule>
  </conditionalFormatting>
  <conditionalFormatting sqref="W70">
    <cfRule type="expression" dxfId="540" priority="469">
      <formula>MOD(ROW(),2)=1</formula>
    </cfRule>
  </conditionalFormatting>
  <conditionalFormatting sqref="W74">
    <cfRule type="expression" dxfId="539" priority="447">
      <formula>MOD(ROW(),2)=1</formula>
    </cfRule>
  </conditionalFormatting>
  <conditionalFormatting sqref="W76">
    <cfRule type="expression" dxfId="538" priority="446">
      <formula>MOD(ROW(),2)=1</formula>
    </cfRule>
  </conditionalFormatting>
  <conditionalFormatting sqref="W80">
    <cfRule type="expression" dxfId="537" priority="445">
      <formula>MOD(ROW(),2)=1</formula>
    </cfRule>
  </conditionalFormatting>
  <conditionalFormatting sqref="W84">
    <cfRule type="expression" dxfId="536" priority="439">
      <formula>MOD(ROW(),2)=1</formula>
    </cfRule>
  </conditionalFormatting>
  <conditionalFormatting sqref="W88">
    <cfRule type="expression" dxfId="535" priority="437">
      <formula>MOD(ROW(),2)=1</formula>
    </cfRule>
  </conditionalFormatting>
  <conditionalFormatting sqref="W130">
    <cfRule type="expression" dxfId="534" priority="409">
      <formula>MOD(ROW(),2)=1</formula>
    </cfRule>
  </conditionalFormatting>
  <conditionalFormatting sqref="W134">
    <cfRule type="expression" dxfId="533" priority="408">
      <formula>MOD(ROW(),2)=1</formula>
    </cfRule>
  </conditionalFormatting>
  <conditionalFormatting sqref="W144">
    <cfRule type="expression" dxfId="532" priority="401">
      <formula>MOD(ROW(),2)=1</formula>
    </cfRule>
  </conditionalFormatting>
  <conditionalFormatting sqref="W148">
    <cfRule type="expression" dxfId="531" priority="400">
      <formula>MOD(ROW(),2)=1</formula>
    </cfRule>
  </conditionalFormatting>
  <conditionalFormatting sqref="W152">
    <cfRule type="expression" dxfId="530" priority="399">
      <formula>MOD(ROW(),2)=1</formula>
    </cfRule>
  </conditionalFormatting>
  <conditionalFormatting sqref="W156">
    <cfRule type="expression" dxfId="529" priority="398">
      <formula>MOD(ROW(),2)=1</formula>
    </cfRule>
  </conditionalFormatting>
  <conditionalFormatting sqref="W160">
    <cfRule type="expression" dxfId="528" priority="397">
      <formula>MOD(ROW(),2)=1</formula>
    </cfRule>
  </conditionalFormatting>
  <conditionalFormatting sqref="W164">
    <cfRule type="expression" dxfId="527" priority="396">
      <formula>MOD(ROW(),2)=1</formula>
    </cfRule>
  </conditionalFormatting>
  <conditionalFormatting sqref="W168">
    <cfRule type="expression" dxfId="526" priority="395">
      <formula>MOD(ROW(),2)=1</formula>
    </cfRule>
  </conditionalFormatting>
  <conditionalFormatting sqref="W172">
    <cfRule type="expression" dxfId="525" priority="394">
      <formula>MOD(ROW(),2)=1</formula>
    </cfRule>
  </conditionalFormatting>
  <conditionalFormatting sqref="W176">
    <cfRule type="expression" dxfId="524" priority="393">
      <formula>MOD(ROW(),2)=1</formula>
    </cfRule>
  </conditionalFormatting>
  <conditionalFormatting sqref="U34 U32">
    <cfRule type="expression" dxfId="523" priority="180">
      <formula>MOD(ROW(),2)=1</formula>
    </cfRule>
  </conditionalFormatting>
  <conditionalFormatting sqref="U6">
    <cfRule type="expression" dxfId="522" priority="243">
      <formula>MOD(ROW(),2)=1</formula>
    </cfRule>
  </conditionalFormatting>
  <conditionalFormatting sqref="U8">
    <cfRule type="expression" dxfId="521" priority="226">
      <formula>MOD(ROW(),2)=1</formula>
    </cfRule>
  </conditionalFormatting>
  <conditionalFormatting sqref="U10 U12">
    <cfRule type="expression" dxfId="520" priority="221">
      <formula>MOD(ROW(),2)=1</formula>
    </cfRule>
  </conditionalFormatting>
  <conditionalFormatting sqref="U16">
    <cfRule type="expression" dxfId="519" priority="211">
      <formula>MOD(ROW(),2)=1</formula>
    </cfRule>
  </conditionalFormatting>
  <conditionalFormatting sqref="U20 U22">
    <cfRule type="expression" dxfId="518" priority="209">
      <formula>MOD(ROW(),2)=1</formula>
    </cfRule>
  </conditionalFormatting>
  <conditionalFormatting sqref="U24">
    <cfRule type="expression" dxfId="517" priority="204">
      <formula>MOD(ROW(),2)=1</formula>
    </cfRule>
  </conditionalFormatting>
  <conditionalFormatting sqref="U26">
    <cfRule type="expression" dxfId="516" priority="202">
      <formula>MOD(ROW(),2)=1</formula>
    </cfRule>
  </conditionalFormatting>
  <conditionalFormatting sqref="U44 U46 U42">
    <cfRule type="expression" dxfId="515" priority="166">
      <formula>MOD(ROW(),2)=1</formula>
    </cfRule>
  </conditionalFormatting>
  <conditionalFormatting sqref="U48">
    <cfRule type="expression" dxfId="514" priority="160">
      <formula>MOD(ROW(),2)=1</formula>
    </cfRule>
  </conditionalFormatting>
  <conditionalFormatting sqref="U50">
    <cfRule type="expression" dxfId="513" priority="155">
      <formula>MOD(ROW(),2)=1</formula>
    </cfRule>
  </conditionalFormatting>
  <conditionalFormatting sqref="U56 U58 U54">
    <cfRule type="expression" dxfId="512" priority="154">
      <formula>MOD(ROW(),2)=1</formula>
    </cfRule>
  </conditionalFormatting>
  <conditionalFormatting sqref="U62">
    <cfRule type="expression" dxfId="511" priority="153">
      <formula>MOD(ROW(),2)=1</formula>
    </cfRule>
  </conditionalFormatting>
  <conditionalFormatting sqref="U70 U72">
    <cfRule type="expression" dxfId="510" priority="127">
      <formula>MOD(ROW(),2)=1</formula>
    </cfRule>
  </conditionalFormatting>
  <conditionalFormatting sqref="U74">
    <cfRule type="expression" dxfId="509" priority="117">
      <formula>MOD(ROW(),2)=1</formula>
    </cfRule>
  </conditionalFormatting>
  <conditionalFormatting sqref="U76 U78">
    <cfRule type="expression" dxfId="508" priority="116">
      <formula>MOD(ROW(),2)=1</formula>
    </cfRule>
  </conditionalFormatting>
  <conditionalFormatting sqref="U84 U86 U82">
    <cfRule type="expression" dxfId="507" priority="113">
      <formula>MOD(ROW(),2)=1</formula>
    </cfRule>
  </conditionalFormatting>
  <conditionalFormatting sqref="U88">
    <cfRule type="expression" dxfId="506" priority="112">
      <formula>MOD(ROW(),2)=1</formula>
    </cfRule>
  </conditionalFormatting>
  <conditionalFormatting sqref="U130 U132">
    <cfRule type="expression" dxfId="505" priority="102">
      <formula>MOD(ROW(),2)=1</formula>
    </cfRule>
  </conditionalFormatting>
  <conditionalFormatting sqref="U136">
    <cfRule type="expression" dxfId="504" priority="101">
      <formula>MOD(ROW(),2)=1</formula>
    </cfRule>
  </conditionalFormatting>
  <conditionalFormatting sqref="AB2:AC2 AB4:AC4 AG4 AG2 E36:I36">
    <cfRule type="expression" dxfId="503" priority="78">
      <formula>MOD(ROW(),2)=1</formula>
    </cfRule>
  </conditionalFormatting>
  <conditionalFormatting sqref="Y4">
    <cfRule type="expression" dxfId="502" priority="77">
      <formula>MOD(ROW(),2)=1</formula>
    </cfRule>
  </conditionalFormatting>
  <conditionalFormatting sqref="W4">
    <cfRule type="expression" dxfId="501" priority="76">
      <formula>MOD(ROW(),2)=1</formula>
    </cfRule>
  </conditionalFormatting>
  <conditionalFormatting sqref="AC28 AG28">
    <cfRule type="expression" dxfId="500" priority="68">
      <formula>MOD(ROW(),2)=1</formula>
    </cfRule>
  </conditionalFormatting>
  <conditionalFormatting sqref="Y28">
    <cfRule type="expression" dxfId="499" priority="67">
      <formula>MOD(ROW(),2)=1</formula>
    </cfRule>
  </conditionalFormatting>
  <conditionalFormatting sqref="W28">
    <cfRule type="expression" dxfId="498" priority="66">
      <formula>MOD(ROW(),2)=1</formula>
    </cfRule>
  </conditionalFormatting>
  <conditionalFormatting sqref="W36">
    <cfRule type="expression" dxfId="497" priority="62">
      <formula>MOD(ROW(),2)=1</formula>
    </cfRule>
  </conditionalFormatting>
  <conditionalFormatting sqref="J36">
    <cfRule type="expression" dxfId="496" priority="65">
      <formula>MOD(ROW(),2)=1</formula>
    </cfRule>
  </conditionalFormatting>
  <conditionalFormatting sqref="AD36">
    <cfRule type="expression" dxfId="495" priority="64">
      <formula>MOD(ROW(),2)=1</formula>
    </cfRule>
  </conditionalFormatting>
  <conditionalFormatting sqref="Y36">
    <cfRule type="expression" dxfId="494" priority="63">
      <formula>MOD(ROW(),2)=1</formula>
    </cfRule>
  </conditionalFormatting>
  <conditionalFormatting sqref="W64">
    <cfRule type="expression" dxfId="493" priority="56">
      <formula>MOD(ROW(),2)=1</formula>
    </cfRule>
  </conditionalFormatting>
  <conditionalFormatting sqref="AC64 AG64">
    <cfRule type="expression" dxfId="492" priority="59">
      <formula>MOD(ROW(),2)=1</formula>
    </cfRule>
  </conditionalFormatting>
  <conditionalFormatting sqref="AD64">
    <cfRule type="expression" dxfId="491" priority="58">
      <formula>MOD(ROW(),2)=1</formula>
    </cfRule>
  </conditionalFormatting>
  <conditionalFormatting sqref="Y64">
    <cfRule type="expression" dxfId="490" priority="57">
      <formula>MOD(ROW(),2)=1</formula>
    </cfRule>
  </conditionalFormatting>
  <conditionalFormatting sqref="AC90 AC92 AC94 AC96 AC98 AC100 AC102 AC104 AC106 AC108 AC110 AC112 AC114 AC116 AC118 AC120 AC122 AC124 AC126 AC128 AG90 AG128 AG126 AG124 AG122 AG120 AG118 AG116 AG114 AG112 AG110 AG108 AG106 AG104 AG102 AG100 AG98 AG96 AG94 AG92">
    <cfRule type="expression" dxfId="489" priority="55">
      <formula>MOD(ROW(),2)=1</formula>
    </cfRule>
  </conditionalFormatting>
  <conditionalFormatting sqref="AB112">
    <cfRule type="expression" dxfId="488" priority="54">
      <formula>MOD(ROW(),2)=1</formula>
    </cfRule>
  </conditionalFormatting>
  <conditionalFormatting sqref="AD92 AD94 AD116 AD118 AD120 AD122 AD124 AD126 AD128 AD96">
    <cfRule type="expression" dxfId="487" priority="53">
      <formula>MOD(ROW(),2)=1</formula>
    </cfRule>
  </conditionalFormatting>
  <conditionalFormatting sqref="Y92">
    <cfRule type="expression" dxfId="486" priority="52">
      <formula>MOD(ROW(),2)=1</formula>
    </cfRule>
  </conditionalFormatting>
  <conditionalFormatting sqref="Y96">
    <cfRule type="expression" dxfId="485" priority="51">
      <formula>MOD(ROW(),2)=1</formula>
    </cfRule>
  </conditionalFormatting>
  <conditionalFormatting sqref="Y100">
    <cfRule type="expression" dxfId="484" priority="50">
      <formula>MOD(ROW(),2)=1</formula>
    </cfRule>
  </conditionalFormatting>
  <conditionalFormatting sqref="Y104">
    <cfRule type="expression" dxfId="483" priority="49">
      <formula>MOD(ROW(),2)=1</formula>
    </cfRule>
  </conditionalFormatting>
  <conditionalFormatting sqref="Y108">
    <cfRule type="expression" dxfId="482" priority="48">
      <formula>MOD(ROW(),2)=1</formula>
    </cfRule>
  </conditionalFormatting>
  <conditionalFormatting sqref="Y112">
    <cfRule type="expression" dxfId="481" priority="47">
      <formula>MOD(ROW(),2)=1</formula>
    </cfRule>
  </conditionalFormatting>
  <conditionalFormatting sqref="Y116">
    <cfRule type="expression" dxfId="480" priority="46">
      <formula>MOD(ROW(),2)=1</formula>
    </cfRule>
  </conditionalFormatting>
  <conditionalFormatting sqref="Y120">
    <cfRule type="expression" dxfId="479" priority="45">
      <formula>MOD(ROW(),2)=1</formula>
    </cfRule>
  </conditionalFormatting>
  <conditionalFormatting sqref="Y124">
    <cfRule type="expression" dxfId="478" priority="44">
      <formula>MOD(ROW(),2)=1</formula>
    </cfRule>
  </conditionalFormatting>
  <conditionalFormatting sqref="Y128">
    <cfRule type="expression" dxfId="477" priority="43">
      <formula>MOD(ROW(),2)=1</formula>
    </cfRule>
  </conditionalFormatting>
  <conditionalFormatting sqref="W92">
    <cfRule type="expression" dxfId="476" priority="42">
      <formula>MOD(ROW(),2)=1</formula>
    </cfRule>
  </conditionalFormatting>
  <conditionalFormatting sqref="W96">
    <cfRule type="expression" dxfId="475" priority="41">
      <formula>MOD(ROW(),2)=1</formula>
    </cfRule>
  </conditionalFormatting>
  <conditionalFormatting sqref="W100">
    <cfRule type="expression" dxfId="474" priority="40">
      <formula>MOD(ROW(),2)=1</formula>
    </cfRule>
  </conditionalFormatting>
  <conditionalFormatting sqref="W104">
    <cfRule type="expression" dxfId="473" priority="39">
      <formula>MOD(ROW(),2)=1</formula>
    </cfRule>
  </conditionalFormatting>
  <conditionalFormatting sqref="W108">
    <cfRule type="expression" dxfId="472" priority="38">
      <formula>MOD(ROW(),2)=1</formula>
    </cfRule>
  </conditionalFormatting>
  <conditionalFormatting sqref="W112">
    <cfRule type="expression" dxfId="471" priority="37">
      <formula>MOD(ROW(),2)=1</formula>
    </cfRule>
  </conditionalFormatting>
  <conditionalFormatting sqref="W116">
    <cfRule type="expression" dxfId="470" priority="36">
      <formula>MOD(ROW(),2)=1</formula>
    </cfRule>
  </conditionalFormatting>
  <conditionalFormatting sqref="W120">
    <cfRule type="expression" dxfId="469" priority="35">
      <formula>MOD(ROW(),2)=1</formula>
    </cfRule>
  </conditionalFormatting>
  <conditionalFormatting sqref="W124">
    <cfRule type="expression" dxfId="468" priority="34">
      <formula>MOD(ROW(),2)=1</formula>
    </cfRule>
  </conditionalFormatting>
  <conditionalFormatting sqref="W128">
    <cfRule type="expression" dxfId="467" priority="33">
      <formula>MOD(ROW(),2)=1</formula>
    </cfRule>
  </conditionalFormatting>
  <conditionalFormatting sqref="U2">
    <cfRule type="expression" dxfId="466" priority="32">
      <formula>MOD(ROW(),2)=1</formula>
    </cfRule>
  </conditionalFormatting>
  <conditionalFormatting sqref="U4">
    <cfRule type="expression" dxfId="465" priority="31">
      <formula>MOD(ROW(),2)=1</formula>
    </cfRule>
  </conditionalFormatting>
  <conditionalFormatting sqref="U28">
    <cfRule type="expression" dxfId="464" priority="24">
      <formula>MOD(ROW(),2)=1</formula>
    </cfRule>
  </conditionalFormatting>
  <conditionalFormatting sqref="U36">
    <cfRule type="expression" dxfId="463" priority="23">
      <formula>MOD(ROW(),2)=1</formula>
    </cfRule>
  </conditionalFormatting>
  <conditionalFormatting sqref="U64">
    <cfRule type="expression" dxfId="462" priority="20">
      <formula>MOD(ROW(),2)=1</formula>
    </cfRule>
  </conditionalFormatting>
  <conditionalFormatting sqref="U90">
    <cfRule type="expression" dxfId="461" priority="18">
      <formula>MOD(ROW(),2)=1</formula>
    </cfRule>
  </conditionalFormatting>
  <conditionalFormatting sqref="U92">
    <cfRule type="expression" dxfId="460" priority="17">
      <formula>MOD(ROW(),2)=1</formula>
    </cfRule>
  </conditionalFormatting>
  <conditionalFormatting sqref="U94">
    <cfRule type="expression" dxfId="459" priority="16">
      <formula>MOD(ROW(),2)=1</formula>
    </cfRule>
  </conditionalFormatting>
  <conditionalFormatting sqref="U96">
    <cfRule type="expression" dxfId="458" priority="15">
      <formula>MOD(ROW(),2)=1</formula>
    </cfRule>
  </conditionalFormatting>
  <conditionalFormatting sqref="U98">
    <cfRule type="expression" dxfId="457" priority="14">
      <formula>MOD(ROW(),2)=1</formula>
    </cfRule>
  </conditionalFormatting>
  <conditionalFormatting sqref="U100">
    <cfRule type="expression" dxfId="456" priority="13">
      <formula>MOD(ROW(),2)=1</formula>
    </cfRule>
  </conditionalFormatting>
  <conditionalFormatting sqref="U102">
    <cfRule type="expression" dxfId="455" priority="12">
      <formula>MOD(ROW(),2)=1</formula>
    </cfRule>
  </conditionalFormatting>
  <conditionalFormatting sqref="U104">
    <cfRule type="expression" dxfId="454" priority="11">
      <formula>MOD(ROW(),2)=1</formula>
    </cfRule>
  </conditionalFormatting>
  <conditionalFormatting sqref="U106">
    <cfRule type="expression" dxfId="453" priority="10">
      <formula>MOD(ROW(),2)=1</formula>
    </cfRule>
  </conditionalFormatting>
  <conditionalFormatting sqref="U108">
    <cfRule type="expression" dxfId="452" priority="9">
      <formula>MOD(ROW(),2)=1</formula>
    </cfRule>
  </conditionalFormatting>
  <conditionalFormatting sqref="U110">
    <cfRule type="expression" dxfId="451" priority="8">
      <formula>MOD(ROW(),2)=1</formula>
    </cfRule>
  </conditionalFormatting>
  <conditionalFormatting sqref="U112">
    <cfRule type="expression" dxfId="450" priority="7">
      <formula>MOD(ROW(),2)=1</formula>
    </cfRule>
  </conditionalFormatting>
  <conditionalFormatting sqref="U114">
    <cfRule type="expression" dxfId="449" priority="6">
      <formula>MOD(ROW(),2)=1</formula>
    </cfRule>
  </conditionalFormatting>
  <conditionalFormatting sqref="U116">
    <cfRule type="expression" dxfId="448" priority="5">
      <formula>MOD(ROW(),2)=1</formula>
    </cfRule>
  </conditionalFormatting>
  <conditionalFormatting sqref="U118">
    <cfRule type="expression" dxfId="447" priority="4">
      <formula>MOD(ROW(),2)=1</formula>
    </cfRule>
  </conditionalFormatting>
  <conditionalFormatting sqref="U120">
    <cfRule type="expression" dxfId="446" priority="3">
      <formula>MOD(ROW(),2)=1</formula>
    </cfRule>
  </conditionalFormatting>
  <conditionalFormatting sqref="U122">
    <cfRule type="expression" dxfId="445" priority="2">
      <formula>MOD(ROW(),2)=1</formula>
    </cfRule>
  </conditionalFormatting>
  <conditionalFormatting sqref="U124">
    <cfRule type="expression" dxfId="444" priority="1">
      <formula>MOD(ROW(),2)=1</formula>
    </cfRule>
  </conditionalFormatting>
  <pageMargins left="0.7" right="0.7" top="0.75" bottom="0.75" header="0" footer="0"/>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32"/>
  <sheetViews>
    <sheetView workbookViewId="0"/>
  </sheetViews>
  <sheetFormatPr defaultColWidth="5.28515625" defaultRowHeight="12.75" outlineLevelCol="1" x14ac:dyDescent="0.2"/>
  <cols>
    <col min="1" max="1" width="11.28515625" style="33" bestFit="1" customWidth="1"/>
    <col min="2" max="2" width="9.7109375" style="10" customWidth="1"/>
    <col min="3" max="3" width="17.85546875" style="10" customWidth="1"/>
    <col min="4" max="4" width="6.85546875" style="36" customWidth="1"/>
    <col min="5" max="5" width="4.28515625" style="42" customWidth="1"/>
    <col min="6" max="6" width="10.28515625" style="36" bestFit="1" customWidth="1"/>
    <col min="7" max="7" width="9.28515625" style="36" customWidth="1"/>
    <col min="8" max="8" width="14.85546875" style="36" bestFit="1" customWidth="1"/>
    <col min="9" max="9" width="30.5703125" style="36" customWidth="1"/>
    <col min="10" max="10" width="17.5703125" style="36" customWidth="1"/>
    <col min="11" max="11" width="9.5703125" style="36" customWidth="1"/>
    <col min="12" max="13" width="9.7109375" style="36" customWidth="1"/>
    <col min="14" max="14" width="13.85546875" style="36" customWidth="1"/>
    <col min="15" max="15" width="8.7109375" style="36" customWidth="1"/>
    <col min="16" max="16" width="22.7109375" style="36" bestFit="1" customWidth="1"/>
    <col min="17" max="17" width="18.28515625" style="36" bestFit="1" customWidth="1"/>
    <col min="18" max="18" width="8.7109375" style="36" bestFit="1" customWidth="1"/>
    <col min="19" max="19" width="11.42578125" style="36" bestFit="1" customWidth="1"/>
    <col min="20" max="20" width="12.7109375" style="36" customWidth="1"/>
    <col min="21" max="21" width="10.42578125" style="36" bestFit="1" customWidth="1"/>
    <col min="22" max="22" width="10.42578125" style="36" customWidth="1"/>
    <col min="23" max="23" width="11.85546875" style="36" customWidth="1"/>
    <col min="24" max="24" width="8.140625" style="36" customWidth="1"/>
    <col min="25" max="25" width="10" style="42" customWidth="1"/>
    <col min="26" max="26" width="15.42578125" style="36" customWidth="1"/>
    <col min="27" max="27" width="11" style="36" customWidth="1"/>
    <col min="28" max="28" width="16.42578125" style="36" customWidth="1"/>
    <col min="29" max="29" width="13.5703125" style="36" customWidth="1"/>
    <col min="30" max="30" width="13.140625" style="36" customWidth="1"/>
    <col min="31" max="31" width="11" style="36" customWidth="1"/>
    <col min="32" max="32" width="12.5703125" style="46" customWidth="1"/>
    <col min="33" max="33" width="10.140625" style="29" customWidth="1"/>
    <col min="34" max="34" width="10.7109375" style="8" customWidth="1"/>
    <col min="35" max="35" width="10.7109375" style="29" customWidth="1"/>
    <col min="36" max="36" width="10.7109375" style="54" customWidth="1"/>
    <col min="37" max="40" width="10.7109375" style="29" customWidth="1"/>
    <col min="41" max="43" width="10.7109375" style="29" customWidth="1" outlineLevel="1"/>
    <col min="44" max="44" width="16.85546875" style="54" customWidth="1" outlineLevel="1"/>
    <col min="45" max="46" width="16.85546875" style="29" customWidth="1" outlineLevel="1"/>
    <col min="47" max="47" width="5.28515625" style="8" outlineLevel="1"/>
    <col min="48" max="50" width="13.42578125" style="23" bestFit="1" customWidth="1" outlineLevel="1"/>
    <col min="51" max="51" width="14.85546875" style="23" bestFit="1" customWidth="1" outlineLevel="1"/>
    <col min="52" max="53" width="14.5703125" style="23" bestFit="1" customWidth="1"/>
    <col min="54" max="54" width="13.5703125" style="23" bestFit="1" customWidth="1"/>
    <col min="55" max="57" width="13.5703125" style="16" bestFit="1" customWidth="1"/>
    <col min="58" max="62" width="12.42578125" style="16" bestFit="1" customWidth="1"/>
    <col min="63" max="74" width="10.42578125" style="16" bestFit="1" customWidth="1"/>
    <col min="75" max="95" width="11.42578125" style="16" bestFit="1" customWidth="1"/>
    <col min="96" max="99" width="12.42578125" style="10" bestFit="1" customWidth="1"/>
    <col min="100" max="133" width="10.42578125" style="10" bestFit="1" customWidth="1"/>
    <col min="134" max="16384" width="5.28515625" style="10"/>
  </cols>
  <sheetData>
    <row r="1" spans="1:99" ht="12" customHeight="1" x14ac:dyDescent="0.2">
      <c r="A1" s="33" t="s">
        <v>81</v>
      </c>
      <c r="B1" s="11" t="s">
        <v>0</v>
      </c>
      <c r="C1" s="11" t="s">
        <v>1</v>
      </c>
      <c r="D1" s="31" t="s">
        <v>2</v>
      </c>
      <c r="E1" s="40" t="s">
        <v>131</v>
      </c>
      <c r="F1" s="31" t="s">
        <v>6</v>
      </c>
      <c r="G1" s="31" t="s">
        <v>110</v>
      </c>
      <c r="H1" s="31" t="s">
        <v>1</v>
      </c>
      <c r="I1" s="31" t="s">
        <v>8</v>
      </c>
      <c r="J1" s="31" t="s">
        <v>7</v>
      </c>
      <c r="K1" s="31" t="s">
        <v>127</v>
      </c>
      <c r="L1" s="31" t="s">
        <v>122</v>
      </c>
      <c r="M1" s="31" t="s">
        <v>125</v>
      </c>
      <c r="N1" s="31" t="s">
        <v>123</v>
      </c>
      <c r="O1" s="31" t="s">
        <v>5</v>
      </c>
      <c r="P1" s="31" t="s">
        <v>126</v>
      </c>
      <c r="Q1" s="31" t="s">
        <v>3</v>
      </c>
      <c r="R1" s="31" t="s">
        <v>124</v>
      </c>
      <c r="S1" s="31" t="s">
        <v>4</v>
      </c>
      <c r="T1" s="31" t="s">
        <v>68</v>
      </c>
      <c r="U1" s="31" t="s">
        <v>165</v>
      </c>
      <c r="V1" s="31" t="s">
        <v>120</v>
      </c>
      <c r="W1" s="31" t="s">
        <v>121</v>
      </c>
      <c r="X1" s="31" t="s">
        <v>128</v>
      </c>
      <c r="Y1" s="40" t="s">
        <v>117</v>
      </c>
      <c r="Z1" s="31" t="s">
        <v>129</v>
      </c>
      <c r="AA1" s="31" t="s">
        <v>87</v>
      </c>
      <c r="AB1" s="31" t="s">
        <v>85</v>
      </c>
      <c r="AC1" s="31" t="s">
        <v>86</v>
      </c>
      <c r="AD1" s="31" t="s">
        <v>130</v>
      </c>
      <c r="AE1" s="31" t="s">
        <v>118</v>
      </c>
      <c r="AF1" s="44" t="s">
        <v>119</v>
      </c>
      <c r="AG1" s="27" t="s">
        <v>114</v>
      </c>
      <c r="AH1" s="4"/>
      <c r="AI1" s="58" t="s">
        <v>76</v>
      </c>
      <c r="AJ1" s="52" t="s">
        <v>74</v>
      </c>
      <c r="AK1" s="27" t="s">
        <v>9</v>
      </c>
      <c r="AL1" s="58" t="s">
        <v>77</v>
      </c>
      <c r="AM1" s="27" t="s">
        <v>10</v>
      </c>
      <c r="AN1" s="27" t="s">
        <v>11</v>
      </c>
      <c r="AO1" s="58" t="s">
        <v>162</v>
      </c>
      <c r="AP1" s="27" t="s">
        <v>80</v>
      </c>
      <c r="AQ1" s="58" t="s">
        <v>163</v>
      </c>
      <c r="AR1" s="52" t="s">
        <v>78</v>
      </c>
      <c r="AS1" s="58" t="s">
        <v>164</v>
      </c>
      <c r="AT1" s="27" t="s">
        <v>79</v>
      </c>
      <c r="AU1" s="4"/>
      <c r="AV1" s="7" t="s">
        <v>75</v>
      </c>
      <c r="AW1" s="7"/>
      <c r="AX1" s="7"/>
      <c r="AY1" s="7"/>
      <c r="AZ1" s="7"/>
      <c r="BA1" s="7"/>
      <c r="BB1" s="7"/>
      <c r="BC1" s="6"/>
      <c r="BD1" s="6"/>
      <c r="BE1" s="6"/>
      <c r="BF1" s="6"/>
      <c r="BG1" s="6"/>
      <c r="BH1" s="6"/>
      <c r="BI1" s="6"/>
      <c r="BJ1" s="6"/>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11"/>
      <c r="CS1" s="11"/>
      <c r="CT1" s="11"/>
      <c r="CU1" s="11"/>
    </row>
    <row r="2" spans="1:99" s="60" customFormat="1" ht="12" customHeight="1" x14ac:dyDescent="0.2">
      <c r="A2" s="94">
        <v>43509</v>
      </c>
      <c r="B2" s="101"/>
      <c r="C2" s="101"/>
      <c r="D2" s="77"/>
      <c r="E2" s="98"/>
      <c r="F2" s="77"/>
      <c r="G2" s="77"/>
      <c r="H2" s="77"/>
      <c r="I2" s="77"/>
      <c r="J2" s="77"/>
      <c r="K2" s="102"/>
      <c r="L2" s="102"/>
      <c r="M2" s="77"/>
      <c r="N2" s="77"/>
      <c r="O2" s="77"/>
      <c r="P2" s="77"/>
      <c r="Q2" s="77"/>
      <c r="R2" s="77"/>
      <c r="S2" s="77"/>
      <c r="T2" s="96"/>
      <c r="U2" s="32"/>
      <c r="V2" s="77"/>
      <c r="W2" s="77"/>
      <c r="X2" s="77"/>
      <c r="Y2" s="98"/>
      <c r="Z2" s="77"/>
      <c r="AA2" s="77"/>
      <c r="AB2" s="77"/>
      <c r="AC2" s="77"/>
      <c r="AD2" s="77"/>
      <c r="AE2" s="77"/>
      <c r="AF2" s="99"/>
      <c r="AG2" s="100"/>
      <c r="AH2" s="84"/>
      <c r="AI2" s="100"/>
      <c r="AJ2" s="105"/>
      <c r="AK2" s="100"/>
      <c r="AL2" s="100"/>
      <c r="AM2" s="100"/>
      <c r="AN2" s="100"/>
      <c r="AO2" s="100"/>
      <c r="AP2" s="100"/>
      <c r="AQ2" s="104"/>
      <c r="AR2" s="106"/>
      <c r="AS2" s="104"/>
      <c r="AT2" s="104"/>
      <c r="AU2" s="62"/>
      <c r="AV2" s="64">
        <f>60*1</f>
        <v>60</v>
      </c>
      <c r="AW2" s="64">
        <f>60*2</f>
        <v>120</v>
      </c>
      <c r="AX2" s="64">
        <f>60*5</f>
        <v>300</v>
      </c>
      <c r="AY2" s="64">
        <f>60*10</f>
        <v>600</v>
      </c>
      <c r="AZ2" s="64">
        <f>60*20</f>
        <v>1200</v>
      </c>
      <c r="BA2" s="64">
        <f>60*30</f>
        <v>1800</v>
      </c>
      <c r="BB2" s="64">
        <f>60*60</f>
        <v>3600</v>
      </c>
      <c r="BC2" s="65"/>
      <c r="BD2" s="65"/>
      <c r="BE2" s="65"/>
      <c r="BF2" s="65"/>
      <c r="BG2" s="65"/>
      <c r="BH2" s="65"/>
      <c r="BI2" s="65"/>
      <c r="BJ2" s="65"/>
      <c r="BK2" s="65"/>
      <c r="BL2" s="61"/>
      <c r="BM2" s="61"/>
      <c r="BN2" s="61"/>
      <c r="BO2" s="61"/>
      <c r="BP2" s="61"/>
      <c r="BQ2" s="61"/>
      <c r="BR2" s="61"/>
      <c r="BS2" s="61"/>
      <c r="BT2" s="61"/>
      <c r="BU2" s="61"/>
      <c r="BV2" s="61"/>
      <c r="BW2" s="61"/>
      <c r="BX2" s="61"/>
      <c r="BY2" s="61"/>
      <c r="BZ2" s="61"/>
      <c r="CA2" s="61"/>
      <c r="CB2" s="61"/>
      <c r="CC2" s="61"/>
      <c r="CD2" s="61"/>
      <c r="CE2" s="61"/>
      <c r="CF2" s="61"/>
      <c r="CG2" s="61"/>
      <c r="CH2" s="61"/>
      <c r="CI2" s="61"/>
      <c r="CJ2" s="61"/>
      <c r="CK2" s="61"/>
      <c r="CL2" s="61"/>
      <c r="CM2" s="61"/>
      <c r="CN2" s="61"/>
      <c r="CO2" s="61"/>
      <c r="CP2" s="61"/>
      <c r="CQ2" s="61"/>
      <c r="CR2" s="59"/>
      <c r="CS2" s="59"/>
      <c r="CT2" s="59"/>
      <c r="CU2" s="59"/>
    </row>
    <row r="3" spans="1:99" s="60" customFormat="1" ht="12" customHeight="1" x14ac:dyDescent="0.2">
      <c r="A3" s="94">
        <v>43509</v>
      </c>
      <c r="B3" s="101" t="s">
        <v>203</v>
      </c>
      <c r="C3" s="101" t="s">
        <v>204</v>
      </c>
      <c r="D3" s="77">
        <v>1972</v>
      </c>
      <c r="E3" s="98">
        <v>1</v>
      </c>
      <c r="F3" s="77">
        <v>17</v>
      </c>
      <c r="G3" s="77">
        <v>17</v>
      </c>
      <c r="H3" s="77" t="s">
        <v>25</v>
      </c>
      <c r="I3" s="77" t="s">
        <v>212</v>
      </c>
      <c r="J3" s="77" t="s">
        <v>12</v>
      </c>
      <c r="K3" s="77" t="str">
        <f>IF(J3="syllables","1",IF(J3="trigrams","2",IF(J3="strings","3",IF(J3="visual array","4",IF(J3="characters","5",IF(J3="letters","6",IF(J3="free forms","7",IF(J3="odors","8",IF(J3="words","9",IF(J3="pictures","10",IF(J3="object pictures","11",IF(J3="faces","12",IF(J3="names","13",IF(J3="idioms","14",IF(J3="grades","15",IF(J3="syllable-digit pairs","16",IF(J3="trigram-word pairs","17",IF(J3="word-digit pairs","18",IF(J3="English-Swahili pairs","19",IF(J3="spatial position","20",IF(J3="word pairs","21",IF(J3="word triads","22",IF(J3="generated words","23",IF(J3="word definition pairs","24",IF(J3="math problems","25",IF(J3="famous faces","26",IF(J3="famous names","27",IF(J3="famous voices","28",IF(J3="television programs","29",IF(J3="race horses","30",IF(J3="new vocabulary","31",IF(J3="sentences","32",IF(J3="concepts","33",IF(J3="ad slides","34",IF(J3="scenes","35",IF(J3="famous scenes","36",IF(J3="poems","37",IF(J3="walk","38",IF(J3="faces and events","39",IF(J3="events and names","40",IF(J3="flashbulb","41",IF(J3="stories","42",IF(J3="course material","43",IF(J3="autobiographical","44",IF(J3="novels","45",IF(J3="public events","46",IF(J3="order","90","99")))))))))))))))))))))))))))))))))))))))))))))))</f>
        <v>9</v>
      </c>
      <c r="L3" s="77" t="str">
        <f>IF(J3="syllables","1",IF(J3="trigrams","1",IF(J3="strings","1",IF(J3="visual array","1",IF(J3="characters","1",IF(J3="letters","1",IF(J3="free forms","1",IF(J3="odors","2",IF(J3="words","2",IF(J3="pictures","2",IF(J3="object pictures","2",IF(J3="faces","2",IF(J3="names","2",IF(J3="idioms","2",IF(J3="grades","2",IF(J3="syllable-digit pairs","3",IF(J3="trigram-word pairs","3",IF(J3="word-digit pairs","3",IF(J3="English-Swahili pairs","3",IF(J3="spatial position","3",IF(J3="word pairs","4",IF(J3="word triads","4",IF(J3="generated words","4",IF(J3="word definition pairs","4",IF(J3="math problems","4",IF(J3="famous faces","4",IF(J3="famous names","4",IF(J3="famous voices","4",IF(J3="television programs","4",IF(J3="race horses","4",IF(J3="new vocabulary","4",IF(J3="sentences","5",IF(J3="concepts","5",IF(J3="ad slides","5",IF(J3="scenes","5",IF(J3="famous scenes","5",IF(J3="poems","6",IF(J3="walk","6",IF(J3="faces and events","6",IF(J3="events and names","6",IF(J3="flashbulb","7",IF(J3="stories","7",IF(J3="course material","7",IF(J3="autobiographical","7",IF(J3="novels","7",IF(J3="public events","7",IF(J3="order","90","99")))))))))))))))))))))))))))))))))))))))))))))))</f>
        <v>2</v>
      </c>
      <c r="M3" s="77" t="s">
        <v>213</v>
      </c>
      <c r="N3" s="77">
        <v>3</v>
      </c>
      <c r="O3" s="77" t="s">
        <v>195</v>
      </c>
      <c r="P3" s="77"/>
      <c r="Q3" s="77" t="s">
        <v>18</v>
      </c>
      <c r="R3" s="77" t="str">
        <f>IF(Q3="Free Recall","1",IF(Q3="Cued Recall","2",IF(Q3="Recognition","3",IF(Q3="Multiple Choice","4",IF(Q3="Savings","5",IF(Q3="Stem Completion","6",IF(Q3="Fragment Completion","7",IF(Q3="anagram solution","8",IF(Q3="Matching","9",IF(Q3="Problem Solving","10","99"))))))))))</f>
        <v>3</v>
      </c>
      <c r="S3" s="77" t="s">
        <v>196</v>
      </c>
      <c r="T3" s="96" t="s">
        <v>132</v>
      </c>
      <c r="U3" s="32">
        <f>IF(T3="within",1,0)</f>
        <v>1</v>
      </c>
      <c r="V3" s="96">
        <v>400</v>
      </c>
      <c r="W3" s="77">
        <f>F3*V3</f>
        <v>6800</v>
      </c>
      <c r="X3" s="77">
        <v>7</v>
      </c>
      <c r="Y3" s="98">
        <f>AV2</f>
        <v>60</v>
      </c>
      <c r="Z3" s="77" t="s">
        <v>214</v>
      </c>
      <c r="AA3" s="77">
        <v>3600</v>
      </c>
      <c r="AB3" s="77" t="str">
        <f>IF(AA3&lt;60,"1",IF(AA3&lt;=43200,"2",IF(AA3&lt;=777600,"3","4")))</f>
        <v>2</v>
      </c>
      <c r="AC3" s="100">
        <f>AVERAGE(AV2:DA2)</f>
        <v>1097.1428571428571</v>
      </c>
      <c r="AD3" s="77" t="str">
        <f>IF(AC3&lt;60,"1",IF(AC3&lt;=43200,"2",IF(AC3&lt;=777600,"3","4")))</f>
        <v>2</v>
      </c>
      <c r="AE3" s="98">
        <f>AA3-Y3</f>
        <v>3540</v>
      </c>
      <c r="AF3" s="99">
        <f>AV3</f>
        <v>2.78</v>
      </c>
      <c r="AG3" s="100">
        <f>((AW3-AV3)+(AX3-AW3)+(AY3-AX3)+(AZ3-AY3)+(BA3-AZ3)+(BB3-BA3))/6</f>
        <v>-0.25166666666666665</v>
      </c>
      <c r="AH3" s="84"/>
      <c r="AI3" s="100">
        <f>RSQ(AV3:BB3,AV2:BB2)</f>
        <v>0.66459601973973181</v>
      </c>
      <c r="AJ3" s="105">
        <f>SLOPE(AV3:BB3,AV2:BB2)</f>
        <v>-3.9013421155140052E-4</v>
      </c>
      <c r="AK3" s="100">
        <f>INTERCEPT(AV3:BB3,AV2:BB2)</f>
        <v>2.3751758206735367</v>
      </c>
      <c r="AL3" s="100">
        <f>INDEX(LINEST(LN(AV3:BB3),LN(AV2:BB2),TRUE,TRUE),3,1)</f>
        <v>0.96920333636408962</v>
      </c>
      <c r="AM3" s="100">
        <f>INDEX(LINEST(LN(AV3:BB3),LN(AV2:BB2)),1)</f>
        <v>-0.20725283363153152</v>
      </c>
      <c r="AN3" s="100">
        <f>EXP(INDEX(LINEST(LN(AV3:BB3),LN(AV2:BB2)),1,2))</f>
        <v>6.8230700087930396</v>
      </c>
      <c r="AO3" s="104">
        <f>INDEX(LINEST((AV3:BB3),LN(AV2:BB2),TRUE,TRUE),3,1)</f>
        <v>0.96577148825203041</v>
      </c>
      <c r="AP3" s="104">
        <f>INDEX(LINEST((AV3:BB3),LN(AV2:BB2)),1)</f>
        <v>-0.40398440341939534</v>
      </c>
      <c r="AQ3" s="48">
        <f>INDEX(LINEST(LN(AV3:BB3),SQRT(AV2:BB2),TRUE,TRUE),3,1)</f>
        <v>0.90226166984995115</v>
      </c>
      <c r="AR3" s="56">
        <f>INDEX(LINEST(LN(AV3:BB3),SQRT((AV2:BB2))),1)</f>
        <v>-1.5795403162833704E-2</v>
      </c>
      <c r="AS3" s="49">
        <f>INDEX(LINEST(1/(AV3:BB3),1/(SQRT(AV2:BB2)),TRUE,TRUE),3,1)</f>
        <v>0.81317732005505994</v>
      </c>
      <c r="AT3" s="49">
        <f>INDEX(LINEST(1/(AV3:BB3),1/SQRT(AV2:BB2)),1)</f>
        <v>-3.6980304238663213</v>
      </c>
      <c r="AU3" s="63"/>
      <c r="AV3" s="65">
        <v>2.78</v>
      </c>
      <c r="AW3" s="65">
        <v>2.7</v>
      </c>
      <c r="AX3" s="65">
        <v>2.1</v>
      </c>
      <c r="AY3" s="65">
        <v>1.76</v>
      </c>
      <c r="AZ3" s="65">
        <v>1.68</v>
      </c>
      <c r="BA3" s="65">
        <v>1.34</v>
      </c>
      <c r="BB3" s="65">
        <v>1.27</v>
      </c>
      <c r="BC3" s="65"/>
      <c r="BD3" s="65"/>
      <c r="BE3" s="65"/>
      <c r="BF3" s="65"/>
      <c r="BG3" s="65"/>
      <c r="BH3" s="65"/>
      <c r="BI3" s="65"/>
      <c r="BJ3" s="65"/>
      <c r="BK3" s="65"/>
      <c r="BL3" s="61"/>
      <c r="BM3" s="61"/>
      <c r="BN3" s="61"/>
      <c r="BO3" s="61"/>
      <c r="BP3" s="61"/>
      <c r="BQ3" s="61"/>
      <c r="BR3" s="61"/>
      <c r="BS3" s="61"/>
      <c r="BT3" s="61"/>
      <c r="BU3" s="61"/>
      <c r="BV3" s="61"/>
      <c r="BW3" s="61"/>
      <c r="BX3" s="61"/>
      <c r="BY3" s="61"/>
      <c r="BZ3" s="61"/>
      <c r="CA3" s="61"/>
      <c r="CB3" s="61"/>
      <c r="CC3" s="61"/>
      <c r="CD3" s="61"/>
      <c r="CE3" s="61"/>
      <c r="CF3" s="61"/>
      <c r="CG3" s="61"/>
      <c r="CH3" s="61"/>
      <c r="CI3" s="61"/>
      <c r="CJ3" s="61"/>
      <c r="CK3" s="61"/>
      <c r="CL3" s="61"/>
      <c r="CM3" s="61"/>
      <c r="CN3" s="61"/>
      <c r="CO3" s="61"/>
      <c r="CP3" s="61"/>
      <c r="CQ3" s="61"/>
      <c r="CR3" s="59"/>
      <c r="CS3" s="59"/>
      <c r="CT3" s="59"/>
      <c r="CU3" s="59"/>
    </row>
    <row r="4" spans="1:99" s="60" customFormat="1" ht="12" customHeight="1" x14ac:dyDescent="0.2">
      <c r="A4" s="94">
        <v>43509</v>
      </c>
      <c r="B4" s="101"/>
      <c r="C4" s="101"/>
      <c r="D4" s="77"/>
      <c r="E4" s="98"/>
      <c r="F4" s="77"/>
      <c r="G4" s="77"/>
      <c r="H4" s="77"/>
      <c r="I4" s="77"/>
      <c r="J4" s="77"/>
      <c r="K4" s="102"/>
      <c r="L4" s="102"/>
      <c r="M4" s="77"/>
      <c r="N4" s="77"/>
      <c r="O4" s="77"/>
      <c r="P4" s="77"/>
      <c r="Q4" s="77"/>
      <c r="R4" s="77"/>
      <c r="S4" s="77"/>
      <c r="T4" s="96"/>
      <c r="U4" s="32"/>
      <c r="V4" s="77"/>
      <c r="W4" s="77"/>
      <c r="X4" s="77"/>
      <c r="Y4" s="98"/>
      <c r="Z4" s="77"/>
      <c r="AA4" s="77"/>
      <c r="AB4" s="77"/>
      <c r="AC4" s="77"/>
      <c r="AD4" s="77"/>
      <c r="AE4" s="77"/>
      <c r="AF4" s="99"/>
      <c r="AG4" s="100"/>
      <c r="AH4" s="84"/>
      <c r="AI4" s="100"/>
      <c r="AJ4" s="105"/>
      <c r="AK4" s="100"/>
      <c r="AL4" s="100"/>
      <c r="AM4" s="100"/>
      <c r="AN4" s="100"/>
      <c r="AO4" s="100"/>
      <c r="AP4" s="100"/>
      <c r="AQ4" s="100"/>
      <c r="AR4" s="105"/>
      <c r="AS4" s="100"/>
      <c r="AT4" s="100"/>
      <c r="AU4" s="62"/>
      <c r="AV4" s="64">
        <f>60*3</f>
        <v>180</v>
      </c>
      <c r="AW4" s="64">
        <f>60*6</f>
        <v>360</v>
      </c>
      <c r="AX4" s="64">
        <f>60*12</f>
        <v>720</v>
      </c>
      <c r="AY4" s="64">
        <f>60*22</f>
        <v>1320</v>
      </c>
      <c r="AZ4" s="64">
        <f>60*60</f>
        <v>3600</v>
      </c>
      <c r="BA4" s="65"/>
      <c r="BB4" s="65"/>
      <c r="BC4" s="65"/>
      <c r="BD4" s="65"/>
      <c r="BE4" s="65"/>
      <c r="BF4" s="65"/>
      <c r="BG4" s="65"/>
      <c r="BH4" s="65"/>
      <c r="BI4" s="65"/>
      <c r="BJ4" s="65"/>
      <c r="BK4" s="65"/>
      <c r="BL4" s="61"/>
      <c r="BM4" s="61"/>
      <c r="BN4" s="61"/>
      <c r="BO4" s="61"/>
      <c r="BP4" s="61"/>
      <c r="BQ4" s="61"/>
      <c r="BR4" s="61"/>
      <c r="BS4" s="61"/>
      <c r="BT4" s="61"/>
      <c r="BU4" s="61"/>
      <c r="BV4" s="61"/>
      <c r="BW4" s="61"/>
      <c r="BX4" s="61"/>
      <c r="BY4" s="61"/>
      <c r="BZ4" s="61"/>
      <c r="CA4" s="61"/>
      <c r="CB4" s="61"/>
      <c r="CC4" s="61"/>
      <c r="CD4" s="61"/>
      <c r="CE4" s="61"/>
      <c r="CF4" s="61"/>
      <c r="CG4" s="61"/>
      <c r="CH4" s="61"/>
      <c r="CI4" s="61"/>
      <c r="CJ4" s="61"/>
      <c r="CK4" s="61"/>
      <c r="CL4" s="61"/>
      <c r="CM4" s="61"/>
      <c r="CN4" s="61"/>
      <c r="CO4" s="61"/>
      <c r="CP4" s="61"/>
      <c r="CQ4" s="61"/>
      <c r="CR4" s="59"/>
      <c r="CS4" s="59"/>
      <c r="CT4" s="59"/>
      <c r="CU4" s="59"/>
    </row>
    <row r="5" spans="1:99" s="60" customFormat="1" ht="12" customHeight="1" x14ac:dyDescent="0.2">
      <c r="A5" s="94">
        <v>43509</v>
      </c>
      <c r="B5" s="101" t="s">
        <v>203</v>
      </c>
      <c r="C5" s="101" t="s">
        <v>204</v>
      </c>
      <c r="D5" s="77">
        <v>1972</v>
      </c>
      <c r="E5" s="98">
        <v>1</v>
      </c>
      <c r="F5" s="77">
        <v>17</v>
      </c>
      <c r="G5" s="77">
        <v>17</v>
      </c>
      <c r="H5" s="77" t="s">
        <v>25</v>
      </c>
      <c r="I5" s="77" t="s">
        <v>215</v>
      </c>
      <c r="J5" s="77" t="s">
        <v>12</v>
      </c>
      <c r="K5" s="77" t="str">
        <f>IF(J5="syllables","1",IF(J5="trigrams","2",IF(J5="strings","3",IF(J5="visual array","4",IF(J5="characters","5",IF(J5="letters","6",IF(J5="free forms","7",IF(J5="odors","8",IF(J5="words","9",IF(J5="pictures","10",IF(J5="object pictures","11",IF(J5="faces","12",IF(J5="names","13",IF(J5="idioms","14",IF(J5="grades","15",IF(J5="syllable-digit pairs","16",IF(J5="trigram-word pairs","17",IF(J5="word-digit pairs","18",IF(J5="English-Swahili pairs","19",IF(J5="spatial position","20",IF(J5="word pairs","21",IF(J5="word triads","22",IF(J5="generated words","23",IF(J5="word definition pairs","24",IF(J5="math problems","25",IF(J5="famous faces","26",IF(J5="famous names","27",IF(J5="famous voices","28",IF(J5="television programs","29",IF(J5="race horses","30",IF(J5="new vocabulary","31",IF(J5="sentences","32",IF(J5="concepts","33",IF(J5="ad slides","34",IF(J5="scenes","35",IF(J5="famous scenes","36",IF(J5="poems","37",IF(J5="walk","38",IF(J5="faces and events","39",IF(J5="events and names","40",IF(J5="flashbulb","41",IF(J5="stories","42",IF(J5="course material","43",IF(J5="autobiographical","44",IF(J5="novels","45",IF(J5="public events","46",IF(J5="order","90","99")))))))))))))))))))))))))))))))))))))))))))))))</f>
        <v>9</v>
      </c>
      <c r="L5" s="77" t="str">
        <f>IF(J5="syllables","1",IF(J5="trigrams","1",IF(J5="strings","1",IF(J5="visual array","1",IF(J5="characters","1",IF(J5="letters","1",IF(J5="free forms","1",IF(J5="odors","2",IF(J5="words","2",IF(J5="pictures","2",IF(J5="object pictures","2",IF(J5="faces","2",IF(J5="names","2",IF(J5="idioms","2",IF(J5="grades","2",IF(J5="syllable-digit pairs","3",IF(J5="trigram-word pairs","3",IF(J5="word-digit pairs","3",IF(J5="English-Swahili pairs","3",IF(J5="spatial position","3",IF(J5="word pairs","4",IF(J5="word triads","4",IF(J5="generated words","4",IF(J5="word definition pairs","4",IF(J5="math problems","4",IF(J5="famous faces","4",IF(J5="famous names","4",IF(J5="famous voices","4",IF(J5="television programs","4",IF(J5="race horses","4",IF(J5="new vocabulary","4",IF(J5="sentences","5",IF(J5="concepts","5",IF(J5="ad slides","5",IF(J5="scenes","5",IF(J5="famous scenes","5",IF(J5="poems","6",IF(J5="walk","6",IF(J5="faces and events","6",IF(J5="events and names","6",IF(J5="flashbulb","7",IF(J5="stories","7",IF(J5="course material","7",IF(J5="autobiographical","7",IF(J5="novels","7",IF(J5="public events","7",IF(J5="order","90","99")))))))))))))))))))))))))))))))))))))))))))))))</f>
        <v>2</v>
      </c>
      <c r="M5" s="77" t="s">
        <v>213</v>
      </c>
      <c r="N5" s="77">
        <v>3</v>
      </c>
      <c r="O5" s="77" t="s">
        <v>195</v>
      </c>
      <c r="P5" s="77"/>
      <c r="Q5" s="77" t="s">
        <v>18</v>
      </c>
      <c r="R5" s="77" t="str">
        <f>IF(Q5="Free Recall","1",IF(Q5="Cued Recall","2",IF(Q5="Recognition","3",IF(Q5="Multiple Choice","4",IF(Q5="Savings","5",IF(Q5="Stem Completion","6",IF(Q5="Fragment Completion","7",IF(Q5="anagram solution","8",IF(Q5="Matching","9",IF(Q5="Problem Solving","10","99"))))))))))</f>
        <v>3</v>
      </c>
      <c r="S5" s="77" t="s">
        <v>196</v>
      </c>
      <c r="T5" s="96" t="s">
        <v>132</v>
      </c>
      <c r="U5" s="32">
        <f>IF(T5="within",1,0)</f>
        <v>1</v>
      </c>
      <c r="V5" s="96">
        <v>400</v>
      </c>
      <c r="W5" s="77">
        <f>F5*V5</f>
        <v>6800</v>
      </c>
      <c r="X5" s="77">
        <v>5</v>
      </c>
      <c r="Y5" s="98">
        <f>AV4</f>
        <v>180</v>
      </c>
      <c r="Z5" s="77" t="s">
        <v>214</v>
      </c>
      <c r="AA5" s="77">
        <v>3600</v>
      </c>
      <c r="AB5" s="77" t="str">
        <f>IF(AA5&lt;60,"1",IF(AA5&lt;=43200,"2",IF(AA5&lt;=777600,"3","4")))</f>
        <v>2</v>
      </c>
      <c r="AC5" s="100">
        <f>AVERAGE(AV4:DA4)</f>
        <v>1236</v>
      </c>
      <c r="AD5" s="77" t="str">
        <f>IF(AC5&lt;60,"1",IF(AC5&lt;=43200,"2",IF(AC5&lt;=777600,"3","4")))</f>
        <v>2</v>
      </c>
      <c r="AE5" s="98">
        <f>AA5-Y5</f>
        <v>3420</v>
      </c>
      <c r="AF5" s="99">
        <f>AV5</f>
        <v>3.15</v>
      </c>
      <c r="AG5" s="100">
        <f>((AW5-AV5)+(AX5-AW5)+(AY5-AX5)+(AZ5-AY5))/4</f>
        <v>-0.36</v>
      </c>
      <c r="AH5" s="84"/>
      <c r="AI5" s="100">
        <f>RSQ(AV5:AZ5,AV4:AZ4)</f>
        <v>0.77880050537179812</v>
      </c>
      <c r="AJ5" s="105">
        <f>SLOPE(AV5:AZ5,AV4:AZ4)</f>
        <v>-3.4926242717243092E-4</v>
      </c>
      <c r="AK5" s="100">
        <f>INTERCEPT(AV5:AZ5,AV4:AZ4)</f>
        <v>2.8416883599851248</v>
      </c>
      <c r="AL5" s="100">
        <f>INDEX(LINEST(LN(AV5:AZ5),LN(AV4:AZ4),TRUE,TRUE),3,1)</f>
        <v>0.99653752980585375</v>
      </c>
      <c r="AM5" s="100">
        <f>INDEX(LINEST(LN(AV5:AZ5),LN(AV4:AZ4)),1)</f>
        <v>-0.20172665350125502</v>
      </c>
      <c r="AN5" s="100">
        <f>EXP(INDEX(LINEST(LN(AV5:AZ5),LN(AV4:AZ4)),1,2))</f>
        <v>8.9426455831887282</v>
      </c>
      <c r="AO5" s="104">
        <f>INDEX(LINEST((AV5:AZ5),LN(AV4:AZ4),TRUE,TRUE),3,1)</f>
        <v>0.98797690791448167</v>
      </c>
      <c r="AP5" s="104">
        <f>INDEX(LINEST((AV5:AZ5),LN(AV4:AZ4)),1)</f>
        <v>-0.47301334182815136</v>
      </c>
      <c r="AQ5" s="48">
        <f>INDEX(LINEST(LN(AV5:AZ5),SQRT(AV4:AZ4),TRUE,TRUE),3,1)</f>
        <v>0.95131764731326651</v>
      </c>
      <c r="AR5" s="56">
        <f>INDEX(LINEST(LN(AV5:AZ5),SQRT((AV4:AZ4))),1)</f>
        <v>-1.2458579930354381E-2</v>
      </c>
      <c r="AS5" s="49">
        <f>INDEX(LINEST(1/(AV5:AZ5),1/(SQRT(AV4:AZ4)),TRUE,TRUE),3,1)</f>
        <v>0.89368682116037146</v>
      </c>
      <c r="AT5" s="49">
        <f>INDEX(LINEST(1/(AV5:AZ5),1/SQRT(AV4:AZ4)),1)</f>
        <v>-4.3046077685682267</v>
      </c>
      <c r="AU5" s="63"/>
      <c r="AV5" s="65">
        <v>3.15</v>
      </c>
      <c r="AW5" s="65">
        <v>2.68</v>
      </c>
      <c r="AX5" s="65">
        <v>2.42</v>
      </c>
      <c r="AY5" s="65">
        <v>2.09</v>
      </c>
      <c r="AZ5" s="65">
        <v>1.71</v>
      </c>
      <c r="BA5" s="65"/>
      <c r="BB5" s="65"/>
      <c r="BC5" s="65"/>
      <c r="BD5" s="65"/>
      <c r="BE5" s="65"/>
      <c r="BF5" s="65"/>
      <c r="BG5" s="65"/>
      <c r="BH5" s="65"/>
      <c r="BI5" s="65"/>
      <c r="BJ5" s="65"/>
      <c r="BK5" s="65"/>
      <c r="BL5" s="61"/>
      <c r="BM5" s="61"/>
      <c r="BN5" s="61"/>
      <c r="BO5" s="61"/>
      <c r="BP5" s="61"/>
      <c r="BQ5" s="61"/>
      <c r="BR5" s="61"/>
      <c r="BS5" s="61"/>
      <c r="BT5" s="61"/>
      <c r="BU5" s="61"/>
      <c r="BV5" s="61"/>
      <c r="BW5" s="61"/>
      <c r="BX5" s="61"/>
      <c r="BY5" s="61"/>
      <c r="BZ5" s="61"/>
      <c r="CA5" s="61"/>
      <c r="CB5" s="61"/>
      <c r="CC5" s="61"/>
      <c r="CD5" s="61"/>
      <c r="CE5" s="61"/>
      <c r="CF5" s="61"/>
      <c r="CG5" s="61"/>
      <c r="CH5" s="61"/>
      <c r="CI5" s="61"/>
      <c r="CJ5" s="61"/>
      <c r="CK5" s="61"/>
      <c r="CL5" s="61"/>
      <c r="CM5" s="61"/>
      <c r="CN5" s="61"/>
      <c r="CO5" s="61"/>
      <c r="CP5" s="61"/>
      <c r="CQ5" s="61"/>
      <c r="CR5" s="59"/>
      <c r="CS5" s="59"/>
      <c r="CT5" s="59"/>
      <c r="CU5" s="59"/>
    </row>
    <row r="6" spans="1:99" s="60" customFormat="1" ht="12" customHeight="1" x14ac:dyDescent="0.2">
      <c r="A6" s="94">
        <v>43509</v>
      </c>
      <c r="B6" s="101"/>
      <c r="C6" s="101"/>
      <c r="D6" s="77"/>
      <c r="E6" s="98"/>
      <c r="F6" s="77"/>
      <c r="G6" s="77"/>
      <c r="H6" s="77"/>
      <c r="I6" s="77"/>
      <c r="J6" s="77"/>
      <c r="K6" s="102"/>
      <c r="L6" s="102"/>
      <c r="M6" s="77"/>
      <c r="N6" s="77"/>
      <c r="O6" s="77"/>
      <c r="P6" s="77"/>
      <c r="Q6" s="77"/>
      <c r="R6" s="77"/>
      <c r="S6" s="77"/>
      <c r="T6" s="96"/>
      <c r="U6" s="32"/>
      <c r="V6" s="77"/>
      <c r="W6" s="77"/>
      <c r="X6" s="77"/>
      <c r="Y6" s="98"/>
      <c r="Z6" s="77"/>
      <c r="AA6" s="77"/>
      <c r="AB6" s="77"/>
      <c r="AC6" s="77"/>
      <c r="AD6" s="77"/>
      <c r="AE6" s="77"/>
      <c r="AF6" s="99"/>
      <c r="AG6" s="100"/>
      <c r="AH6" s="84"/>
      <c r="AI6" s="100"/>
      <c r="AJ6" s="105"/>
      <c r="AK6" s="100"/>
      <c r="AL6" s="100"/>
      <c r="AM6" s="100"/>
      <c r="AN6" s="100"/>
      <c r="AO6" s="100"/>
      <c r="AP6" s="100"/>
      <c r="AQ6" s="100"/>
      <c r="AR6" s="105"/>
      <c r="AS6" s="100"/>
      <c r="AT6" s="100"/>
      <c r="AU6" s="62"/>
      <c r="AV6" s="64">
        <f>60*4</f>
        <v>240</v>
      </c>
      <c r="AW6" s="64">
        <f>60*8</f>
        <v>480</v>
      </c>
      <c r="AX6" s="64">
        <f>60*12</f>
        <v>720</v>
      </c>
      <c r="AY6" s="64">
        <f>60*24</f>
        <v>1440</v>
      </c>
      <c r="AZ6" s="64">
        <f>60*32</f>
        <v>1920</v>
      </c>
      <c r="BA6" s="64">
        <f>60*64</f>
        <v>3840</v>
      </c>
      <c r="BB6" s="65"/>
      <c r="BC6" s="65"/>
      <c r="BD6" s="65"/>
      <c r="BE6" s="65"/>
      <c r="BF6" s="65"/>
      <c r="BG6" s="65"/>
      <c r="BH6" s="65"/>
      <c r="BI6" s="65"/>
      <c r="BJ6" s="65"/>
      <c r="BK6" s="65"/>
      <c r="BL6" s="61"/>
      <c r="BM6" s="61"/>
      <c r="BN6" s="61"/>
      <c r="BO6" s="61"/>
      <c r="BP6" s="61"/>
      <c r="BQ6" s="61"/>
      <c r="BR6" s="61"/>
      <c r="BS6" s="61"/>
      <c r="BT6" s="61"/>
      <c r="BU6" s="61"/>
      <c r="BV6" s="61"/>
      <c r="BW6" s="61"/>
      <c r="BX6" s="61"/>
      <c r="BY6" s="61"/>
      <c r="BZ6" s="61"/>
      <c r="CA6" s="61"/>
      <c r="CB6" s="61"/>
      <c r="CC6" s="61"/>
      <c r="CD6" s="61"/>
      <c r="CE6" s="61"/>
      <c r="CF6" s="61"/>
      <c r="CG6" s="61"/>
      <c r="CH6" s="61"/>
      <c r="CI6" s="61"/>
      <c r="CJ6" s="61"/>
      <c r="CK6" s="61"/>
      <c r="CL6" s="61"/>
      <c r="CM6" s="61"/>
      <c r="CN6" s="61"/>
      <c r="CO6" s="61"/>
      <c r="CP6" s="61"/>
      <c r="CQ6" s="61"/>
      <c r="CR6" s="59"/>
      <c r="CS6" s="59"/>
      <c r="CT6" s="59"/>
      <c r="CU6" s="59"/>
    </row>
    <row r="7" spans="1:99" s="60" customFormat="1" ht="12" customHeight="1" x14ac:dyDescent="0.2">
      <c r="A7" s="94">
        <v>43509</v>
      </c>
      <c r="B7" s="101" t="s">
        <v>203</v>
      </c>
      <c r="C7" s="101" t="s">
        <v>204</v>
      </c>
      <c r="D7" s="77">
        <v>1972</v>
      </c>
      <c r="E7" s="98">
        <v>1</v>
      </c>
      <c r="F7" s="77">
        <v>17</v>
      </c>
      <c r="G7" s="77">
        <v>17</v>
      </c>
      <c r="H7" s="77" t="s">
        <v>25</v>
      </c>
      <c r="I7" s="77" t="s">
        <v>216</v>
      </c>
      <c r="J7" s="77" t="s">
        <v>12</v>
      </c>
      <c r="K7" s="77" t="str">
        <f>IF(J7="syllables","1",IF(J7="trigrams","2",IF(J7="strings","3",IF(J7="visual array","4",IF(J7="characters","5",IF(J7="letters","6",IF(J7="free forms","7",IF(J7="odors","8",IF(J7="words","9",IF(J7="pictures","10",IF(J7="object pictures","11",IF(J7="faces","12",IF(J7="names","13",IF(J7="idioms","14",IF(J7="grades","15",IF(J7="syllable-digit pairs","16",IF(J7="trigram-word pairs","17",IF(J7="word-digit pairs","18",IF(J7="English-Swahili pairs","19",IF(J7="spatial position","20",IF(J7="word pairs","21",IF(J7="word triads","22",IF(J7="generated words","23",IF(J7="word definition pairs","24",IF(J7="math problems","25",IF(J7="famous faces","26",IF(J7="famous names","27",IF(J7="famous voices","28",IF(J7="television programs","29",IF(J7="race horses","30",IF(J7="new vocabulary","31",IF(J7="sentences","32",IF(J7="concepts","33",IF(J7="ad slides","34",IF(J7="scenes","35",IF(J7="famous scenes","36",IF(J7="poems","37",IF(J7="walk","38",IF(J7="faces and events","39",IF(J7="events and names","40",IF(J7="flashbulb","41",IF(J7="stories","42",IF(J7="course material","43",IF(J7="autobiographical","44",IF(J7="novels","45",IF(J7="public events","46",IF(J7="order","90","99")))))))))))))))))))))))))))))))))))))))))))))))</f>
        <v>9</v>
      </c>
      <c r="L7" s="77" t="str">
        <f>IF(J7="syllables","1",IF(J7="trigrams","1",IF(J7="strings","1",IF(J7="visual array","1",IF(J7="characters","1",IF(J7="letters","1",IF(J7="free forms","1",IF(J7="odors","2",IF(J7="words","2",IF(J7="pictures","2",IF(J7="object pictures","2",IF(J7="faces","2",IF(J7="names","2",IF(J7="idioms","2",IF(J7="grades","2",IF(J7="syllable-digit pairs","3",IF(J7="trigram-word pairs","3",IF(J7="word-digit pairs","3",IF(J7="English-Swahili pairs","3",IF(J7="spatial position","3",IF(J7="word pairs","4",IF(J7="word triads","4",IF(J7="generated words","4",IF(J7="word definition pairs","4",IF(J7="math problems","4",IF(J7="famous faces","4",IF(J7="famous names","4",IF(J7="famous voices","4",IF(J7="television programs","4",IF(J7="race horses","4",IF(J7="new vocabulary","4",IF(J7="sentences","5",IF(J7="concepts","5",IF(J7="ad slides","5",IF(J7="scenes","5",IF(J7="famous scenes","5",IF(J7="poems","6",IF(J7="walk","6",IF(J7="faces and events","6",IF(J7="events and names","6",IF(J7="flashbulb","7",IF(J7="stories","7",IF(J7="course material","7",IF(J7="autobiographical","7",IF(J7="novels","7",IF(J7="public events","7",IF(J7="order","90","99")))))))))))))))))))))))))))))))))))))))))))))))</f>
        <v>2</v>
      </c>
      <c r="M7" s="77" t="s">
        <v>213</v>
      </c>
      <c r="N7" s="77">
        <v>3</v>
      </c>
      <c r="O7" s="77" t="s">
        <v>195</v>
      </c>
      <c r="P7" s="77"/>
      <c r="Q7" s="77" t="s">
        <v>18</v>
      </c>
      <c r="R7" s="77" t="str">
        <f>IF(Q7="Free Recall","1",IF(Q7="Cued Recall","2",IF(Q7="Recognition","3",IF(Q7="Multiple Choice","4",IF(Q7="Savings","5",IF(Q7="Stem Completion","6",IF(Q7="Fragment Completion","7",IF(Q7="anagram solution","8",IF(Q7="Matching","9",IF(Q7="Problem Solving","10","99"))))))))))</f>
        <v>3</v>
      </c>
      <c r="S7" s="77" t="s">
        <v>196</v>
      </c>
      <c r="T7" s="96" t="s">
        <v>132</v>
      </c>
      <c r="U7" s="32">
        <f>IF(T7="within",1,0)</f>
        <v>1</v>
      </c>
      <c r="V7" s="96">
        <v>400</v>
      </c>
      <c r="W7" s="77">
        <f>F7*V7</f>
        <v>6800</v>
      </c>
      <c r="X7" s="77">
        <v>6</v>
      </c>
      <c r="Y7" s="98">
        <f>AV6</f>
        <v>240</v>
      </c>
      <c r="Z7" s="77" t="s">
        <v>217</v>
      </c>
      <c r="AA7" s="77">
        <v>3840</v>
      </c>
      <c r="AB7" s="77" t="str">
        <f>IF(AA7&lt;60,"1",IF(AA7&lt;=43200,"2",IF(AA7&lt;=777600,"3","4")))</f>
        <v>2</v>
      </c>
      <c r="AC7" s="100">
        <f>AVERAGE(AV6:DA6)</f>
        <v>1440</v>
      </c>
      <c r="AD7" s="77" t="str">
        <f>IF(AC7&lt;60,"1",IF(AC7&lt;=43200,"2",IF(AC7&lt;=777600,"3","4")))</f>
        <v>2</v>
      </c>
      <c r="AE7" s="98">
        <f>AA7-Y7</f>
        <v>3600</v>
      </c>
      <c r="AF7" s="99">
        <f>AV7</f>
        <v>2.96</v>
      </c>
      <c r="AG7" s="100">
        <f>((AW7-AV7)+(AX7-AW7)+(AY7-AX7)+(AZ7-AY7)+(BA7-AZ7))/5</f>
        <v>-0.21799999999999997</v>
      </c>
      <c r="AH7" s="84"/>
      <c r="AI7" s="100">
        <f>RSQ(AV7:BA7,AV6:BA6)</f>
        <v>0.85520310794002941</v>
      </c>
      <c r="AJ7" s="105">
        <f>SLOPE(AV7:BA7,AV6:BA6)</f>
        <v>-2.7732683982683985E-4</v>
      </c>
      <c r="AK7" s="100">
        <f>INTERCEPT(AV7:BA7,AV6:BA6)</f>
        <v>2.8460173160173161</v>
      </c>
      <c r="AL7" s="100">
        <f>INDEX(LINEST(LN(AV7:BA7),LN(AV6:BA6),TRUE,TRUE),3,1)</f>
        <v>0.9404006355561787</v>
      </c>
      <c r="AM7" s="100">
        <f>INDEX(LINEST(LN(AV7:BA7),LN(AV6:BA6)),1)</f>
        <v>-0.16185490444053308</v>
      </c>
      <c r="AN7" s="100">
        <f>EXP(INDEX(LINEST(LN(AV7:BA7),LN(AV6:BA6)),1,2))</f>
        <v>7.3731798039648142</v>
      </c>
      <c r="AO7" s="104">
        <f>INDEX(LINEST((AV7:BA7),LN(AV6:BA6),TRUE,TRUE),3,1)</f>
        <v>0.95617088917038306</v>
      </c>
      <c r="AP7" s="104">
        <f>INDEX(LINEST((AV7:BA7),LN(AV6:BA6)),1)</f>
        <v>-0.38866690388598052</v>
      </c>
      <c r="AQ7" s="48">
        <f>INDEX(LINEST(LN(AV7:BA7),SQRT(AV6:BA6),TRUE,TRUE),3,1)</f>
        <v>0.94697652862615966</v>
      </c>
      <c r="AR7" s="56">
        <f>INDEX(LINEST(LN(AV7:BA7),SQRT((AV6:BA6))),1)</f>
        <v>-9.6458165309292639E-3</v>
      </c>
      <c r="AS7" s="49">
        <f>INDEX(LINEST(1/(AV7:BA7),1/(SQRT(AV6:BA6)),TRUE,TRUE),3,1)</f>
        <v>0.81290932429219231</v>
      </c>
      <c r="AT7" s="49">
        <f>INDEX(LINEST(1/(AV7:BA7),1/SQRT(AV6:BA6)),1)</f>
        <v>-3.6559919438063879</v>
      </c>
      <c r="AU7" s="63"/>
      <c r="AV7" s="65">
        <v>2.96</v>
      </c>
      <c r="AW7" s="65">
        <v>2.77</v>
      </c>
      <c r="AX7" s="65">
        <v>2.57</v>
      </c>
      <c r="AY7" s="65">
        <v>2.19</v>
      </c>
      <c r="AZ7" s="65">
        <v>2.3199999999999998</v>
      </c>
      <c r="BA7" s="65">
        <v>1.87</v>
      </c>
      <c r="BB7" s="65"/>
      <c r="BC7" s="65"/>
      <c r="BD7" s="65"/>
      <c r="BE7" s="65"/>
      <c r="BF7" s="65"/>
      <c r="BG7" s="65"/>
      <c r="BH7" s="65"/>
      <c r="BI7" s="65"/>
      <c r="BJ7" s="65"/>
      <c r="BK7" s="65"/>
      <c r="BL7" s="61"/>
      <c r="BM7" s="61"/>
      <c r="BN7" s="61"/>
      <c r="BO7" s="61"/>
      <c r="BP7" s="61"/>
      <c r="BQ7" s="61"/>
      <c r="BR7" s="61"/>
      <c r="BS7" s="61"/>
      <c r="BT7" s="61"/>
      <c r="BU7" s="61"/>
      <c r="BV7" s="61"/>
      <c r="BW7" s="61"/>
      <c r="BX7" s="61"/>
      <c r="BY7" s="61"/>
      <c r="BZ7" s="61"/>
      <c r="CA7" s="61"/>
      <c r="CB7" s="61"/>
      <c r="CC7" s="61"/>
      <c r="CD7" s="61"/>
      <c r="CE7" s="61"/>
      <c r="CF7" s="61"/>
      <c r="CG7" s="61"/>
      <c r="CH7" s="61"/>
      <c r="CI7" s="61"/>
      <c r="CJ7" s="61"/>
      <c r="CK7" s="61"/>
      <c r="CL7" s="61"/>
      <c r="CM7" s="61"/>
      <c r="CN7" s="61"/>
      <c r="CO7" s="61"/>
      <c r="CP7" s="61"/>
      <c r="CQ7" s="61"/>
      <c r="CR7" s="59"/>
      <c r="CS7" s="59"/>
      <c r="CT7" s="59"/>
      <c r="CU7" s="59"/>
    </row>
    <row r="8" spans="1:99" s="60" customFormat="1" ht="12" customHeight="1" x14ac:dyDescent="0.2">
      <c r="A8" s="94">
        <v>43509</v>
      </c>
      <c r="B8" s="101"/>
      <c r="C8" s="101"/>
      <c r="D8" s="77"/>
      <c r="E8" s="98"/>
      <c r="F8" s="77"/>
      <c r="G8" s="77"/>
      <c r="H8" s="77"/>
      <c r="I8" s="77"/>
      <c r="J8" s="77"/>
      <c r="K8" s="102"/>
      <c r="L8" s="102"/>
      <c r="M8" s="77"/>
      <c r="N8" s="77"/>
      <c r="O8" s="77"/>
      <c r="P8" s="77"/>
      <c r="Q8" s="77"/>
      <c r="R8" s="77"/>
      <c r="S8" s="77"/>
      <c r="T8" s="96"/>
      <c r="U8" s="32"/>
      <c r="V8" s="77"/>
      <c r="W8" s="77"/>
      <c r="X8" s="77"/>
      <c r="Y8" s="98"/>
      <c r="Z8" s="77"/>
      <c r="AA8" s="77"/>
      <c r="AB8" s="77"/>
      <c r="AC8" s="77"/>
      <c r="AD8" s="77"/>
      <c r="AE8" s="77"/>
      <c r="AF8" s="99"/>
      <c r="AG8" s="100"/>
      <c r="AH8" s="84"/>
      <c r="AI8" s="100"/>
      <c r="AJ8" s="105"/>
      <c r="AK8" s="100"/>
      <c r="AL8" s="100"/>
      <c r="AM8" s="100"/>
      <c r="AN8" s="100"/>
      <c r="AO8" s="100"/>
      <c r="AP8" s="100"/>
      <c r="AQ8" s="100"/>
      <c r="AR8" s="105"/>
      <c r="AS8" s="100"/>
      <c r="AT8" s="100"/>
      <c r="AU8" s="62"/>
      <c r="AV8" s="64">
        <f>60*12</f>
        <v>720</v>
      </c>
      <c r="AW8" s="64">
        <f>60*15</f>
        <v>900</v>
      </c>
      <c r="AX8" s="64">
        <f>60*20</f>
        <v>1200</v>
      </c>
      <c r="AY8" s="64">
        <f>60*30</f>
        <v>1800</v>
      </c>
      <c r="AZ8" s="64">
        <f>60*80</f>
        <v>4800</v>
      </c>
      <c r="BA8" s="65"/>
      <c r="BB8" s="65"/>
      <c r="BC8" s="65"/>
      <c r="BD8" s="65"/>
      <c r="BE8" s="65"/>
      <c r="BF8" s="65"/>
      <c r="BG8" s="65"/>
      <c r="BH8" s="65"/>
      <c r="BI8" s="65"/>
      <c r="BJ8" s="65"/>
      <c r="BK8" s="65"/>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1"/>
      <c r="CM8" s="61"/>
      <c r="CN8" s="61"/>
      <c r="CO8" s="61"/>
      <c r="CP8" s="61"/>
      <c r="CQ8" s="61"/>
      <c r="CR8" s="59"/>
      <c r="CS8" s="59"/>
      <c r="CT8" s="59"/>
      <c r="CU8" s="59"/>
    </row>
    <row r="9" spans="1:99" s="60" customFormat="1" ht="12" customHeight="1" x14ac:dyDescent="0.2">
      <c r="A9" s="94">
        <v>43509</v>
      </c>
      <c r="B9" s="101" t="s">
        <v>203</v>
      </c>
      <c r="C9" s="101" t="s">
        <v>204</v>
      </c>
      <c r="D9" s="77">
        <v>1972</v>
      </c>
      <c r="E9" s="98">
        <v>1</v>
      </c>
      <c r="F9" s="77">
        <v>17</v>
      </c>
      <c r="G9" s="77">
        <v>17</v>
      </c>
      <c r="H9" s="77" t="s">
        <v>25</v>
      </c>
      <c r="I9" s="77" t="s">
        <v>218</v>
      </c>
      <c r="J9" s="77" t="s">
        <v>12</v>
      </c>
      <c r="K9" s="77" t="str">
        <f>IF(J9="syllables","1",IF(J9="trigrams","2",IF(J9="strings","3",IF(J9="visual array","4",IF(J9="characters","5",IF(J9="letters","6",IF(J9="free forms","7",IF(J9="odors","8",IF(J9="words","9",IF(J9="pictures","10",IF(J9="object pictures","11",IF(J9="faces","12",IF(J9="names","13",IF(J9="idioms","14",IF(J9="grades","15",IF(J9="syllable-digit pairs","16",IF(J9="trigram-word pairs","17",IF(J9="word-digit pairs","18",IF(J9="English-Swahili pairs","19",IF(J9="spatial position","20",IF(J9="word pairs","21",IF(J9="word triads","22",IF(J9="generated words","23",IF(J9="word definition pairs","24",IF(J9="math problems","25",IF(J9="famous faces","26",IF(J9="famous names","27",IF(J9="famous voices","28",IF(J9="television programs","29",IF(J9="race horses","30",IF(J9="new vocabulary","31",IF(J9="sentences","32",IF(J9="concepts","33",IF(J9="ad slides","34",IF(J9="scenes","35",IF(J9="famous scenes","36",IF(J9="poems","37",IF(J9="walk","38",IF(J9="faces and events","39",IF(J9="events and names","40",IF(J9="flashbulb","41",IF(J9="stories","42",IF(J9="course material","43",IF(J9="autobiographical","44",IF(J9="novels","45",IF(J9="public events","46",IF(J9="order","90","99")))))))))))))))))))))))))))))))))))))))))))))))</f>
        <v>9</v>
      </c>
      <c r="L9" s="77" t="str">
        <f>IF(J9="syllables","1",IF(J9="trigrams","1",IF(J9="strings","1",IF(J9="visual array","1",IF(J9="characters","1",IF(J9="letters","1",IF(J9="free forms","1",IF(J9="odors","2",IF(J9="words","2",IF(J9="pictures","2",IF(J9="object pictures","2",IF(J9="faces","2",IF(J9="names","2",IF(J9="idioms","2",IF(J9="grades","2",IF(J9="syllable-digit pairs","3",IF(J9="trigram-word pairs","3",IF(J9="word-digit pairs","3",IF(J9="English-Swahili pairs","3",IF(J9="spatial position","3",IF(J9="word pairs","4",IF(J9="word triads","4",IF(J9="generated words","4",IF(J9="word definition pairs","4",IF(J9="math problems","4",IF(J9="famous faces","4",IF(J9="famous names","4",IF(J9="famous voices","4",IF(J9="television programs","4",IF(J9="race horses","4",IF(J9="new vocabulary","4",IF(J9="sentences","5",IF(J9="concepts","5",IF(J9="ad slides","5",IF(J9="scenes","5",IF(J9="famous scenes","5",IF(J9="poems","6",IF(J9="walk","6",IF(J9="faces and events","6",IF(J9="events and names","6",IF(J9="flashbulb","7",IF(J9="stories","7",IF(J9="course material","7",IF(J9="autobiographical","7",IF(J9="novels","7",IF(J9="public events","7",IF(J9="order","90","99")))))))))))))))))))))))))))))))))))))))))))))))</f>
        <v>2</v>
      </c>
      <c r="M9" s="77" t="s">
        <v>213</v>
      </c>
      <c r="N9" s="77">
        <v>3</v>
      </c>
      <c r="O9" s="77" t="s">
        <v>195</v>
      </c>
      <c r="P9" s="77"/>
      <c r="Q9" s="77" t="s">
        <v>18</v>
      </c>
      <c r="R9" s="77" t="str">
        <f>IF(Q9="Free Recall","1",IF(Q9="Cued Recall","2",IF(Q9="Recognition","3",IF(Q9="Multiple Choice","4",IF(Q9="Savings","5",IF(Q9="Stem Completion","6",IF(Q9="Fragment Completion","7",IF(Q9="anagram solution","8",IF(Q9="Matching","9",IF(Q9="Problem Solving","10","99"))))))))))</f>
        <v>3</v>
      </c>
      <c r="S9" s="77" t="s">
        <v>196</v>
      </c>
      <c r="T9" s="96" t="s">
        <v>132</v>
      </c>
      <c r="U9" s="32">
        <f>IF(T9="within",1,0)</f>
        <v>1</v>
      </c>
      <c r="V9" s="96">
        <v>400</v>
      </c>
      <c r="W9" s="77">
        <f>F9*V9</f>
        <v>6800</v>
      </c>
      <c r="X9" s="77">
        <v>5</v>
      </c>
      <c r="Y9" s="98">
        <f>AV8</f>
        <v>720</v>
      </c>
      <c r="Z9" s="77" t="s">
        <v>219</v>
      </c>
      <c r="AA9" s="77">
        <v>4800</v>
      </c>
      <c r="AB9" s="77" t="str">
        <f>IF(AA9&lt;60,"1",IF(AA9&lt;=43200,"2",IF(AA9&lt;=777600,"3","4")))</f>
        <v>2</v>
      </c>
      <c r="AC9" s="100">
        <f>AVERAGE(AV8:DA8)</f>
        <v>1884</v>
      </c>
      <c r="AD9" s="77" t="str">
        <f>IF(AC9&lt;60,"1",IF(AC9&lt;=43200,"2",IF(AC9&lt;=777600,"3","4")))</f>
        <v>2</v>
      </c>
      <c r="AE9" s="98">
        <f>AA9-Y9</f>
        <v>4080</v>
      </c>
      <c r="AF9" s="99">
        <f>AV9</f>
        <v>3.13</v>
      </c>
      <c r="AG9" s="100">
        <f>((AW9-AV9)+(AX9-AW9)+(AY9-AX9)+(AZ9-AY9))/4</f>
        <v>-0.26249999999999996</v>
      </c>
      <c r="AH9" s="84"/>
      <c r="AI9" s="100">
        <f>RSQ(AV9:AZ9,AV8:AZ8)</f>
        <v>0.72810910691750519</v>
      </c>
      <c r="AJ9" s="105">
        <f>SLOPE(AV9:AZ9,AV8:AZ8)</f>
        <v>-1.9131201155283721E-4</v>
      </c>
      <c r="AK9" s="100">
        <f>INTERCEPT(AV9:AZ9,AV8:AZ8)</f>
        <v>2.9524318297655454</v>
      </c>
      <c r="AL9" s="100">
        <f>INDEX(LINEST(LN(AV9:AZ9),LN(AV8:AZ8),TRUE,TRUE),3,1)</f>
        <v>0.86989771756394552</v>
      </c>
      <c r="AM9" s="100">
        <f>INDEX(LINEST(LN(AV9:AZ9),LN(AV8:AZ8)),1)</f>
        <v>-0.18318574855923095</v>
      </c>
      <c r="AN9" s="100">
        <f>EXP(INDEX(LINEST(LN(AV9:AZ9),LN(AV8:AZ8)),1,2))</f>
        <v>9.7676405537681426</v>
      </c>
      <c r="AO9" s="104">
        <f>INDEX(LINEST((AV9:AZ9),LN(AV8:AZ8),TRUE,TRUE),3,1)</f>
        <v>0.8290014956649312</v>
      </c>
      <c r="AP9" s="104">
        <f>INDEX(LINEST((AV9:AZ9),LN(AV8:AZ8)),1)</f>
        <v>-0.45927855767246911</v>
      </c>
      <c r="AQ9" s="48">
        <f>INDEX(LINEST(LN(AV9:AZ9),SQRT(AV8:AZ8),TRUE,TRUE),3,1)</f>
        <v>0.83532786700279238</v>
      </c>
      <c r="AR9" s="56">
        <f>INDEX(LINEST(LN(AV9:AZ9),SQRT((AV8:AZ8))),1)</f>
        <v>-7.8637391074356591E-3</v>
      </c>
      <c r="AS9" s="49">
        <f>INDEX(LINEST(1/(AV9:AZ9),1/(SQRT(AV8:AZ8)),TRUE,TRUE),3,1)</f>
        <v>0.89559967248357875</v>
      </c>
      <c r="AT9" s="49">
        <f>INDEX(LINEST(1/(AV9:AZ9),1/SQRT(AV8:AZ8)),1)</f>
        <v>-6.1868795245354873</v>
      </c>
      <c r="AU9" s="63"/>
      <c r="AV9" s="65">
        <v>3.13</v>
      </c>
      <c r="AW9" s="65">
        <v>2.59</v>
      </c>
      <c r="AX9" s="65">
        <v>2.67</v>
      </c>
      <c r="AY9" s="65">
        <v>2.4900000000000002</v>
      </c>
      <c r="AZ9" s="65">
        <v>2.08</v>
      </c>
      <c r="BA9" s="65"/>
      <c r="BB9" s="65"/>
      <c r="BC9" s="65"/>
      <c r="BD9" s="65"/>
      <c r="BE9" s="65"/>
      <c r="BF9" s="65"/>
      <c r="BG9" s="65"/>
      <c r="BH9" s="65"/>
      <c r="BI9" s="65"/>
      <c r="BJ9" s="65"/>
      <c r="BK9" s="65"/>
      <c r="BL9" s="61"/>
      <c r="BM9" s="61"/>
      <c r="BN9" s="61"/>
      <c r="BO9" s="61"/>
      <c r="BP9" s="61"/>
      <c r="BQ9" s="61"/>
      <c r="BR9" s="61"/>
      <c r="BS9" s="61"/>
      <c r="BT9" s="61"/>
      <c r="BU9" s="61"/>
      <c r="BV9" s="61"/>
      <c r="BW9" s="61"/>
      <c r="BX9" s="61"/>
      <c r="BY9" s="61"/>
      <c r="BZ9" s="61"/>
      <c r="CA9" s="61"/>
      <c r="CB9" s="61"/>
      <c r="CC9" s="61"/>
      <c r="CD9" s="61"/>
      <c r="CE9" s="61"/>
      <c r="CF9" s="61"/>
      <c r="CG9" s="61"/>
      <c r="CH9" s="61"/>
      <c r="CI9" s="61"/>
      <c r="CJ9" s="61"/>
      <c r="CK9" s="61"/>
      <c r="CL9" s="61"/>
      <c r="CM9" s="61"/>
      <c r="CN9" s="61"/>
      <c r="CO9" s="61"/>
      <c r="CP9" s="61"/>
      <c r="CQ9" s="61"/>
      <c r="CR9" s="59"/>
      <c r="CS9" s="59"/>
      <c r="CT9" s="59"/>
      <c r="CU9" s="59"/>
    </row>
    <row r="10" spans="1:99" ht="12" customHeight="1" x14ac:dyDescent="0.2">
      <c r="K10" s="32"/>
      <c r="L10" s="32"/>
      <c r="R10" s="32"/>
      <c r="W10" s="32"/>
      <c r="Y10" s="41"/>
      <c r="AB10" s="32"/>
      <c r="AE10" s="41"/>
      <c r="AF10" s="45"/>
    </row>
    <row r="11" spans="1:99" ht="12" customHeight="1" x14ac:dyDescent="0.2">
      <c r="R11" s="32"/>
      <c r="W11" s="32"/>
      <c r="Y11" s="41"/>
      <c r="AB11" s="32"/>
      <c r="AE11" s="32"/>
      <c r="AF11" s="45"/>
      <c r="AL11" s="68" t="s">
        <v>135</v>
      </c>
      <c r="AM11" s="29">
        <f>AVERAGE(AM3:AM9)</f>
        <v>-0.18850503503313765</v>
      </c>
    </row>
    <row r="12" spans="1:99" ht="12" customHeight="1" x14ac:dyDescent="0.2">
      <c r="K12" s="32"/>
      <c r="L12" s="32"/>
      <c r="R12" s="32"/>
      <c r="W12" s="32"/>
      <c r="Y12" s="41"/>
      <c r="AB12" s="32"/>
      <c r="AE12" s="41"/>
      <c r="AF12" s="45"/>
      <c r="AL12" s="23" t="s">
        <v>188</v>
      </c>
      <c r="AM12" s="29">
        <f>MEDIAN(AM3:AM9)</f>
        <v>-0.19245620103024297</v>
      </c>
    </row>
    <row r="13" spans="1:99" ht="12" customHeight="1" x14ac:dyDescent="0.2">
      <c r="R13" s="32"/>
      <c r="W13" s="32"/>
      <c r="Y13" s="41"/>
      <c r="AB13" s="32"/>
      <c r="AE13" s="32"/>
      <c r="AF13" s="45"/>
      <c r="AL13" s="68" t="s">
        <v>167</v>
      </c>
      <c r="AM13" s="29">
        <f>MIN(AM3:AM9)</f>
        <v>-0.20725283363153152</v>
      </c>
    </row>
    <row r="14" spans="1:99" ht="12" customHeight="1" x14ac:dyDescent="0.2">
      <c r="K14" s="32"/>
      <c r="L14" s="32"/>
      <c r="R14" s="32"/>
      <c r="W14" s="32"/>
      <c r="Y14" s="41"/>
      <c r="AB14" s="32"/>
      <c r="AE14" s="41"/>
      <c r="AF14" s="45"/>
      <c r="AL14" s="68" t="s">
        <v>166</v>
      </c>
      <c r="AM14" s="29">
        <f>MAX(AM3:AM9)</f>
        <v>-0.16185490444053308</v>
      </c>
    </row>
    <row r="15" spans="1:99" ht="12" customHeight="1" x14ac:dyDescent="0.2">
      <c r="R15" s="32"/>
      <c r="W15" s="32"/>
      <c r="Y15" s="41"/>
      <c r="AB15" s="32"/>
      <c r="AE15" s="32"/>
      <c r="AF15" s="45"/>
      <c r="AL15" s="68" t="s">
        <v>168</v>
      </c>
      <c r="AM15" s="36">
        <f xml:space="preserve"> STDEV(AM3:AM9)</f>
        <v>2.0533025563684526E-2</v>
      </c>
    </row>
    <row r="16" spans="1:99" ht="12" customHeight="1" x14ac:dyDescent="0.2">
      <c r="K16" s="32"/>
      <c r="L16" s="32"/>
      <c r="R16" s="32"/>
      <c r="W16" s="32"/>
      <c r="Y16" s="41"/>
      <c r="AB16" s="32"/>
      <c r="AE16" s="41"/>
      <c r="AF16" s="45"/>
      <c r="AL16" s="23" t="s">
        <v>187</v>
      </c>
      <c r="AM16" s="36">
        <f xml:space="preserve"> STDEV(AM3:AM9)/SQRT(COUNT(AM3:AM9))</f>
        <v>1.0266512781842263E-2</v>
      </c>
    </row>
    <row r="17" spans="11:39" ht="12" customHeight="1" x14ac:dyDescent="0.2">
      <c r="R17" s="32"/>
      <c r="W17" s="32"/>
      <c r="Y17" s="41"/>
      <c r="AB17" s="32"/>
      <c r="AE17" s="32"/>
      <c r="AF17" s="45"/>
      <c r="AL17" s="69"/>
      <c r="AM17" s="70"/>
    </row>
    <row r="18" spans="11:39" ht="12" customHeight="1" x14ac:dyDescent="0.2">
      <c r="K18" s="32"/>
      <c r="L18" s="32"/>
      <c r="R18" s="32"/>
      <c r="W18" s="32"/>
      <c r="Y18" s="41"/>
      <c r="AB18" s="32"/>
      <c r="AE18" s="41"/>
      <c r="AF18" s="45"/>
      <c r="AL18" s="69" t="s">
        <v>45</v>
      </c>
      <c r="AM18" s="70">
        <f>AM11-(3*AM15)</f>
        <v>-0.25010411172419122</v>
      </c>
    </row>
    <row r="19" spans="11:39" ht="12" customHeight="1" x14ac:dyDescent="0.2">
      <c r="R19" s="32"/>
      <c r="W19" s="32"/>
      <c r="Y19" s="41"/>
      <c r="AB19" s="32"/>
      <c r="AE19" s="32"/>
      <c r="AF19" s="45"/>
      <c r="AL19" s="69" t="s">
        <v>44</v>
      </c>
      <c r="AM19" s="70">
        <f>AM11+(3*AM15)</f>
        <v>-0.12690595834208407</v>
      </c>
    </row>
    <row r="20" spans="11:39" ht="12" customHeight="1" x14ac:dyDescent="0.2">
      <c r="K20" s="32"/>
      <c r="L20" s="32"/>
      <c r="R20" s="32"/>
      <c r="W20" s="32"/>
      <c r="Y20" s="41"/>
      <c r="AB20" s="32"/>
      <c r="AE20" s="41"/>
      <c r="AF20" s="45"/>
    </row>
    <row r="21" spans="11:39" ht="12" customHeight="1" x14ac:dyDescent="0.2">
      <c r="R21" s="32"/>
      <c r="W21" s="32"/>
      <c r="Y21" s="41"/>
      <c r="AB21" s="32"/>
      <c r="AE21" s="32"/>
      <c r="AF21" s="45"/>
    </row>
    <row r="22" spans="11:39" ht="12" customHeight="1" x14ac:dyDescent="0.2">
      <c r="K22" s="32"/>
      <c r="L22" s="32"/>
      <c r="R22" s="32"/>
      <c r="W22" s="32"/>
      <c r="Y22" s="41"/>
      <c r="AB22" s="32"/>
      <c r="AE22" s="41"/>
      <c r="AF22" s="45"/>
    </row>
    <row r="23" spans="11:39" ht="12" customHeight="1" x14ac:dyDescent="0.2">
      <c r="W23" s="32"/>
      <c r="Y23" s="41"/>
      <c r="AB23" s="32"/>
      <c r="AE23" s="32"/>
      <c r="AF23" s="45"/>
    </row>
    <row r="24" spans="11:39" ht="12" customHeight="1" x14ac:dyDescent="0.2">
      <c r="K24" s="32"/>
      <c r="L24" s="32"/>
      <c r="W24" s="32"/>
      <c r="Y24" s="41"/>
      <c r="AE24" s="41"/>
      <c r="AF24" s="45"/>
    </row>
    <row r="25" spans="11:39" ht="12" customHeight="1" x14ac:dyDescent="0.2">
      <c r="W25" s="32"/>
      <c r="Y25" s="41"/>
      <c r="AE25" s="32"/>
      <c r="AF25" s="45"/>
    </row>
    <row r="26" spans="11:39" ht="12" customHeight="1" x14ac:dyDescent="0.2">
      <c r="K26" s="32"/>
      <c r="L26" s="32"/>
      <c r="W26" s="32"/>
      <c r="Y26" s="41"/>
      <c r="AE26" s="41"/>
      <c r="AF26" s="45"/>
    </row>
    <row r="27" spans="11:39" ht="12" customHeight="1" x14ac:dyDescent="0.2">
      <c r="W27" s="32"/>
      <c r="Y27" s="41"/>
      <c r="AE27" s="32"/>
      <c r="AF27" s="45"/>
    </row>
    <row r="28" spans="11:39" ht="12" customHeight="1" x14ac:dyDescent="0.2">
      <c r="K28" s="32"/>
      <c r="L28" s="32"/>
      <c r="W28" s="32"/>
      <c r="Y28" s="41"/>
      <c r="AE28" s="41"/>
      <c r="AF28" s="45"/>
    </row>
    <row r="29" spans="11:39" ht="12" customHeight="1" x14ac:dyDescent="0.2">
      <c r="W29" s="32"/>
      <c r="Y29" s="41"/>
      <c r="AE29" s="32"/>
      <c r="AF29" s="45"/>
    </row>
    <row r="30" spans="11:39" ht="12" customHeight="1" x14ac:dyDescent="0.2">
      <c r="K30" s="32"/>
      <c r="L30" s="32"/>
      <c r="W30" s="32"/>
      <c r="Y30" s="41"/>
      <c r="AE30" s="41"/>
      <c r="AF30" s="45"/>
    </row>
    <row r="32" spans="11:39" ht="12" customHeight="1" x14ac:dyDescent="0.2">
      <c r="K32" s="32"/>
      <c r="L32" s="32"/>
    </row>
  </sheetData>
  <conditionalFormatting sqref="Y13">
    <cfRule type="expression" dxfId="302" priority="61">
      <formula>MOD(ROW(),2)=1</formula>
    </cfRule>
  </conditionalFormatting>
  <conditionalFormatting sqref="Y17">
    <cfRule type="expression" dxfId="301" priority="60">
      <formula>MOD(ROW(),2)=1</formula>
    </cfRule>
  </conditionalFormatting>
  <conditionalFormatting sqref="Y21">
    <cfRule type="expression" dxfId="300" priority="59">
      <formula>MOD(ROW(),2)=1</formula>
    </cfRule>
  </conditionalFormatting>
  <conditionalFormatting sqref="Y25">
    <cfRule type="expression" dxfId="299" priority="58">
      <formula>MOD(ROW(),2)=1</formula>
    </cfRule>
  </conditionalFormatting>
  <conditionalFormatting sqref="Y29">
    <cfRule type="expression" dxfId="298" priority="57">
      <formula>MOD(ROW(),2)=1</formula>
    </cfRule>
  </conditionalFormatting>
  <conditionalFormatting sqref="W13">
    <cfRule type="expression" dxfId="297" priority="32">
      <formula>MOD(ROW(),2)=1</formula>
    </cfRule>
  </conditionalFormatting>
  <conditionalFormatting sqref="W17">
    <cfRule type="expression" dxfId="296" priority="31">
      <formula>MOD(ROW(),2)=1</formula>
    </cfRule>
  </conditionalFormatting>
  <conditionalFormatting sqref="W21">
    <cfRule type="expression" dxfId="295" priority="30">
      <formula>MOD(ROW(),2)=1</formula>
    </cfRule>
  </conditionalFormatting>
  <conditionalFormatting sqref="W25">
    <cfRule type="expression" dxfId="294" priority="29">
      <formula>MOD(ROW(),2)=1</formula>
    </cfRule>
  </conditionalFormatting>
  <conditionalFormatting sqref="W29">
    <cfRule type="expression" dxfId="293" priority="28">
      <formula>MOD(ROW(),2)=1</formula>
    </cfRule>
  </conditionalFormatting>
  <conditionalFormatting sqref="U8">
    <cfRule type="expression" dxfId="292" priority="1">
      <formula>MOD(ROW(),2)=1</formula>
    </cfRule>
  </conditionalFormatting>
  <conditionalFormatting sqref="Y4">
    <cfRule type="expression" dxfId="291" priority="8">
      <formula>MOD(ROW(),2)=1</formula>
    </cfRule>
  </conditionalFormatting>
  <conditionalFormatting sqref="U6">
    <cfRule type="expression" dxfId="290" priority="2">
      <formula>MOD(ROW(),2)=1</formula>
    </cfRule>
  </conditionalFormatting>
  <conditionalFormatting sqref="AC2 AC4 AC6 AC8 AG8 AG6 AG4 AG2">
    <cfRule type="expression" dxfId="289" priority="9">
      <formula>MOD(ROW(),2)=1</formula>
    </cfRule>
  </conditionalFormatting>
  <conditionalFormatting sqref="Y8">
    <cfRule type="expression" dxfId="288" priority="7">
      <formula>MOD(ROW(),2)=1</formula>
    </cfRule>
  </conditionalFormatting>
  <conditionalFormatting sqref="W4">
    <cfRule type="expression" dxfId="287" priority="6">
      <formula>MOD(ROW(),2)=1</formula>
    </cfRule>
  </conditionalFormatting>
  <conditionalFormatting sqref="W8">
    <cfRule type="expression" dxfId="286" priority="5">
      <formula>MOD(ROW(),2)=1</formula>
    </cfRule>
  </conditionalFormatting>
  <conditionalFormatting sqref="U2">
    <cfRule type="expression" dxfId="285" priority="4">
      <formula>MOD(ROW(),2)=1</formula>
    </cfRule>
  </conditionalFormatting>
  <conditionalFormatting sqref="U4">
    <cfRule type="expression" dxfId="284" priority="3">
      <formula>MOD(ROW(),2)=1</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181"/>
  <sheetViews>
    <sheetView workbookViewId="0"/>
  </sheetViews>
  <sheetFormatPr defaultRowHeight="15" x14ac:dyDescent="0.25"/>
  <sheetData>
    <row r="3" spans="1:4" x14ac:dyDescent="0.25">
      <c r="A3" t="str">
        <f>'e-LTM Multiple'!B3</f>
        <v>Wickelgren, W. (1972). Trace resistance and the decay of long-term memory. Journal of Mathematical Psychology, 9(4), 418-455.</v>
      </c>
      <c r="B3">
        <f>'e-LTM Multiple'!AA3</f>
        <v>3600</v>
      </c>
      <c r="C3">
        <f>B3/(60*60)</f>
        <v>1</v>
      </c>
      <c r="D3" s="35">
        <f>'e-LTM Multiple'!AM3</f>
        <v>-0.20725283363153152</v>
      </c>
    </row>
    <row r="5" spans="1:4" x14ac:dyDescent="0.25">
      <c r="A5" t="str">
        <f>'e-LTM Multiple'!B5</f>
        <v>Wickelgren, W. (1972). Trace resistance and the decay of long-term memory. Journal of Mathematical Psychology, 9(4), 418-455.</v>
      </c>
      <c r="B5">
        <f>'e-LTM Multiple'!AA5</f>
        <v>3600</v>
      </c>
      <c r="C5">
        <f>B5/(60*60)</f>
        <v>1</v>
      </c>
      <c r="D5" s="35">
        <f>'e-LTM Multiple'!AM5</f>
        <v>-0.20172665350125502</v>
      </c>
    </row>
    <row r="7" spans="1:4" x14ac:dyDescent="0.25">
      <c r="A7" t="str">
        <f>'e-LTM Multiple'!B7</f>
        <v>Wickelgren, W. (1972). Trace resistance and the decay of long-term memory. Journal of Mathematical Psychology, 9(4), 418-455.</v>
      </c>
      <c r="B7">
        <f>'e-LTM Multiple'!AA7</f>
        <v>3840</v>
      </c>
      <c r="C7">
        <f>B7/(60*60)</f>
        <v>1.0666666666666667</v>
      </c>
      <c r="D7" s="35">
        <f>'e-LTM Multiple'!AM7</f>
        <v>-0.16185490444053308</v>
      </c>
    </row>
    <row r="9" spans="1:4" x14ac:dyDescent="0.25">
      <c r="A9" t="str">
        <f>'e-LTM Multiple'!B9</f>
        <v>Wickelgren, W. (1972). Trace resistance and the decay of long-term memory. Journal of Mathematical Psychology, 9(4), 418-455.</v>
      </c>
      <c r="B9">
        <f>'e-LTM Multiple'!AA9</f>
        <v>4800</v>
      </c>
      <c r="C9">
        <f>B9/(60*60)</f>
        <v>1.3333333333333333</v>
      </c>
      <c r="D9" s="35">
        <f>'e-LTM Multiple'!AM9</f>
        <v>-0.18318574855923095</v>
      </c>
    </row>
    <row r="11" spans="1:4" x14ac:dyDescent="0.25">
      <c r="D11" s="35"/>
    </row>
    <row r="13" spans="1:4" x14ac:dyDescent="0.25">
      <c r="D13" s="35"/>
    </row>
    <row r="15" spans="1:4" x14ac:dyDescent="0.25">
      <c r="D15" s="35"/>
    </row>
    <row r="17" spans="4:8" x14ac:dyDescent="0.25">
      <c r="D17" s="35"/>
    </row>
    <row r="18" spans="4:8" x14ac:dyDescent="0.25">
      <c r="G18" s="67">
        <f>AVERAGE(D3:D85)</f>
        <v>-0.18850503503313765</v>
      </c>
      <c r="H18" s="66">
        <f xml:space="preserve"> STDEV(D3:D85)/SQRT(COUNT(D3:D85))</f>
        <v>1.0266512781842263E-2</v>
      </c>
    </row>
    <row r="19" spans="4:8" x14ac:dyDescent="0.25">
      <c r="D19" s="35"/>
    </row>
    <row r="21" spans="4:8" x14ac:dyDescent="0.25">
      <c r="D21" s="35"/>
    </row>
    <row r="23" spans="4:8" x14ac:dyDescent="0.25">
      <c r="D23" s="35"/>
    </row>
    <row r="25" spans="4:8" x14ac:dyDescent="0.25">
      <c r="D25" s="35"/>
    </row>
    <row r="27" spans="4:8" x14ac:dyDescent="0.25">
      <c r="D27" s="35"/>
    </row>
    <row r="29" spans="4:8" x14ac:dyDescent="0.25">
      <c r="D29" s="35"/>
    </row>
    <row r="31" spans="4:8" x14ac:dyDescent="0.25">
      <c r="D31" s="35"/>
    </row>
    <row r="33" spans="4:4" x14ac:dyDescent="0.25">
      <c r="D33" s="35"/>
    </row>
    <row r="35" spans="4:4" x14ac:dyDescent="0.25">
      <c r="D35" s="35"/>
    </row>
    <row r="37" spans="4:4" x14ac:dyDescent="0.25">
      <c r="D37" s="35"/>
    </row>
    <row r="39" spans="4:4" x14ac:dyDescent="0.25">
      <c r="D39" s="35"/>
    </row>
    <row r="41" spans="4:4" x14ac:dyDescent="0.25">
      <c r="D41" s="35"/>
    </row>
    <row r="43" spans="4:4" x14ac:dyDescent="0.25">
      <c r="D43" s="35"/>
    </row>
    <row r="45" spans="4:4" x14ac:dyDescent="0.25">
      <c r="D45" s="35"/>
    </row>
    <row r="47" spans="4:4" x14ac:dyDescent="0.25">
      <c r="D47" s="35"/>
    </row>
    <row r="49" spans="4:4" x14ac:dyDescent="0.25">
      <c r="D49" s="35"/>
    </row>
    <row r="51" spans="4:4" x14ac:dyDescent="0.25">
      <c r="D51" s="35"/>
    </row>
    <row r="53" spans="4:4" x14ac:dyDescent="0.25">
      <c r="D53" s="35"/>
    </row>
    <row r="55" spans="4:4" x14ac:dyDescent="0.25">
      <c r="D55" s="35"/>
    </row>
    <row r="57" spans="4:4" x14ac:dyDescent="0.25">
      <c r="D57" s="35"/>
    </row>
    <row r="59" spans="4:4" x14ac:dyDescent="0.25">
      <c r="D59" s="35"/>
    </row>
    <row r="61" spans="4:4" x14ac:dyDescent="0.25">
      <c r="D61" s="35"/>
    </row>
    <row r="63" spans="4:4" x14ac:dyDescent="0.25">
      <c r="D63" s="35"/>
    </row>
    <row r="65" spans="4:4" x14ac:dyDescent="0.25">
      <c r="D65" s="35"/>
    </row>
    <row r="67" spans="4:4" x14ac:dyDescent="0.25">
      <c r="D67" s="35"/>
    </row>
    <row r="69" spans="4:4" x14ac:dyDescent="0.25">
      <c r="D69" s="35"/>
    </row>
    <row r="71" spans="4:4" x14ac:dyDescent="0.25">
      <c r="D71" s="35"/>
    </row>
    <row r="73" spans="4:4" x14ac:dyDescent="0.25">
      <c r="D73" s="35"/>
    </row>
    <row r="75" spans="4:4" x14ac:dyDescent="0.25">
      <c r="D75" s="35"/>
    </row>
    <row r="77" spans="4:4" x14ac:dyDescent="0.25">
      <c r="D77" s="35"/>
    </row>
    <row r="79" spans="4:4" x14ac:dyDescent="0.25">
      <c r="D79" s="35"/>
    </row>
    <row r="81" spans="4:4" x14ac:dyDescent="0.25">
      <c r="D81" s="35"/>
    </row>
    <row r="83" spans="4:4" x14ac:dyDescent="0.25">
      <c r="D83" s="35"/>
    </row>
    <row r="85" spans="4:4" x14ac:dyDescent="0.25">
      <c r="D85" s="35"/>
    </row>
    <row r="87" spans="4:4" x14ac:dyDescent="0.25">
      <c r="D87" s="35"/>
    </row>
    <row r="89" spans="4:4" x14ac:dyDescent="0.25">
      <c r="D89" s="35"/>
    </row>
    <row r="91" spans="4:4" x14ac:dyDescent="0.25">
      <c r="D91" s="35"/>
    </row>
    <row r="93" spans="4:4" x14ac:dyDescent="0.25">
      <c r="D93" s="35"/>
    </row>
    <row r="95" spans="4:4" x14ac:dyDescent="0.25">
      <c r="D95" s="35"/>
    </row>
    <row r="97" spans="4:4" x14ac:dyDescent="0.25">
      <c r="D97" s="35"/>
    </row>
    <row r="99" spans="4:4" x14ac:dyDescent="0.25">
      <c r="D99" s="35"/>
    </row>
    <row r="101" spans="4:4" x14ac:dyDescent="0.25">
      <c r="D101" s="35"/>
    </row>
    <row r="103" spans="4:4" x14ac:dyDescent="0.25">
      <c r="D103" s="35"/>
    </row>
    <row r="105" spans="4:4" x14ac:dyDescent="0.25">
      <c r="D105" s="35"/>
    </row>
    <row r="107" spans="4:4" x14ac:dyDescent="0.25">
      <c r="D107" s="35"/>
    </row>
    <row r="109" spans="4:4" x14ac:dyDescent="0.25">
      <c r="D109" s="35"/>
    </row>
    <row r="111" spans="4:4" x14ac:dyDescent="0.25">
      <c r="D111" s="35"/>
    </row>
    <row r="113" spans="4:4" x14ac:dyDescent="0.25">
      <c r="D113" s="35"/>
    </row>
    <row r="115" spans="4:4" x14ac:dyDescent="0.25">
      <c r="D115" s="35"/>
    </row>
    <row r="117" spans="4:4" x14ac:dyDescent="0.25">
      <c r="D117" s="35"/>
    </row>
    <row r="119" spans="4:4" x14ac:dyDescent="0.25">
      <c r="D119" s="35"/>
    </row>
    <row r="121" spans="4:4" x14ac:dyDescent="0.25">
      <c r="D121" s="35"/>
    </row>
    <row r="123" spans="4:4" x14ac:dyDescent="0.25">
      <c r="D123" s="35"/>
    </row>
    <row r="125" spans="4:4" x14ac:dyDescent="0.25">
      <c r="D125" s="35"/>
    </row>
    <row r="127" spans="4:4" x14ac:dyDescent="0.25">
      <c r="D127" s="35"/>
    </row>
    <row r="129" spans="4:4" x14ac:dyDescent="0.25">
      <c r="D129" s="35"/>
    </row>
    <row r="131" spans="4:4" x14ac:dyDescent="0.25">
      <c r="D131" s="35"/>
    </row>
    <row r="133" spans="4:4" x14ac:dyDescent="0.25">
      <c r="D133" s="35"/>
    </row>
    <row r="135" spans="4:4" x14ac:dyDescent="0.25">
      <c r="D135" s="35"/>
    </row>
    <row r="137" spans="4:4" x14ac:dyDescent="0.25">
      <c r="D137" s="35"/>
    </row>
    <row r="139" spans="4:4" x14ac:dyDescent="0.25">
      <c r="D139" s="35"/>
    </row>
    <row r="141" spans="4:4" x14ac:dyDescent="0.25">
      <c r="D141" s="35"/>
    </row>
    <row r="143" spans="4:4" x14ac:dyDescent="0.25">
      <c r="D143" s="35"/>
    </row>
    <row r="145" spans="4:4" x14ac:dyDescent="0.25">
      <c r="D145" s="35"/>
    </row>
    <row r="147" spans="4:4" x14ac:dyDescent="0.25">
      <c r="D147" s="35"/>
    </row>
    <row r="149" spans="4:4" x14ac:dyDescent="0.25">
      <c r="D149" s="35"/>
    </row>
    <row r="151" spans="4:4" x14ac:dyDescent="0.25">
      <c r="D151" s="35"/>
    </row>
    <row r="153" spans="4:4" x14ac:dyDescent="0.25">
      <c r="D153" s="35"/>
    </row>
    <row r="155" spans="4:4" x14ac:dyDescent="0.25">
      <c r="D155" s="35"/>
    </row>
    <row r="157" spans="4:4" x14ac:dyDescent="0.25">
      <c r="D157" s="35"/>
    </row>
    <row r="159" spans="4:4" x14ac:dyDescent="0.25">
      <c r="D159" s="35"/>
    </row>
    <row r="161" spans="4:4" x14ac:dyDescent="0.25">
      <c r="D161" s="35"/>
    </row>
    <row r="163" spans="4:4" x14ac:dyDescent="0.25">
      <c r="D163" s="35"/>
    </row>
    <row r="165" spans="4:4" x14ac:dyDescent="0.25">
      <c r="D165" s="35"/>
    </row>
    <row r="167" spans="4:4" x14ac:dyDescent="0.25">
      <c r="D167" s="35"/>
    </row>
    <row r="169" spans="4:4" x14ac:dyDescent="0.25">
      <c r="D169" s="35"/>
    </row>
    <row r="171" spans="4:4" x14ac:dyDescent="0.25">
      <c r="D171" s="35"/>
    </row>
    <row r="173" spans="4:4" x14ac:dyDescent="0.25">
      <c r="D173" s="35"/>
    </row>
    <row r="175" spans="4:4" x14ac:dyDescent="0.25">
      <c r="D175" s="35"/>
    </row>
    <row r="177" spans="4:4" x14ac:dyDescent="0.25">
      <c r="D177" s="35"/>
    </row>
    <row r="179" spans="4:4" x14ac:dyDescent="0.25">
      <c r="D179" s="35"/>
    </row>
    <row r="181" spans="4:4" x14ac:dyDescent="0.25">
      <c r="D181" s="35"/>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87"/>
  <sheetViews>
    <sheetView workbookViewId="0">
      <pane ySplit="1" topLeftCell="A2" activePane="bottomLeft" state="frozen"/>
      <selection pane="bottomLeft"/>
    </sheetView>
  </sheetViews>
  <sheetFormatPr defaultColWidth="5.28515625" defaultRowHeight="12" customHeight="1" outlineLevelCol="1" x14ac:dyDescent="0.2"/>
  <cols>
    <col min="1" max="1" width="11.28515625" style="33" bestFit="1" customWidth="1"/>
    <col min="2" max="2" width="9.7109375" style="10" customWidth="1"/>
    <col min="3" max="3" width="17.85546875" style="10" customWidth="1"/>
    <col min="4" max="4" width="6.85546875" style="36" customWidth="1"/>
    <col min="5" max="5" width="4.28515625" style="42" customWidth="1"/>
    <col min="6" max="6" width="10.28515625" style="36" bestFit="1" customWidth="1"/>
    <col min="7" max="7" width="9.28515625" style="36" customWidth="1"/>
    <col min="8" max="8" width="14.85546875" style="36" bestFit="1" customWidth="1"/>
    <col min="9" max="9" width="30.5703125" style="36" customWidth="1"/>
    <col min="10" max="10" width="17.5703125" style="36" customWidth="1"/>
    <col min="11" max="11" width="9.5703125" style="36" customWidth="1"/>
    <col min="12" max="13" width="9.7109375" style="36" customWidth="1"/>
    <col min="14" max="14" width="13.85546875" style="36" customWidth="1"/>
    <col min="15" max="15" width="8.7109375" style="36" customWidth="1"/>
    <col min="16" max="16" width="22.7109375" style="36" bestFit="1" customWidth="1"/>
    <col min="17" max="17" width="18.28515625" style="36" bestFit="1" customWidth="1"/>
    <col min="18" max="18" width="8.7109375" style="36" bestFit="1" customWidth="1"/>
    <col min="19" max="19" width="11.42578125" style="36" bestFit="1" customWidth="1"/>
    <col min="20" max="20" width="12.7109375" style="36" customWidth="1"/>
    <col min="21" max="21" width="10.42578125" style="36" bestFit="1" customWidth="1"/>
    <col min="22" max="22" width="10.42578125" style="36" customWidth="1"/>
    <col min="23" max="23" width="11.85546875" style="36" customWidth="1"/>
    <col min="24" max="24" width="8.140625" style="36" customWidth="1"/>
    <col min="25" max="25" width="10" style="42" customWidth="1"/>
    <col min="26" max="26" width="15.42578125" style="36" customWidth="1"/>
    <col min="27" max="27" width="11" style="36" customWidth="1"/>
    <col min="28" max="28" width="16.42578125" style="36" customWidth="1"/>
    <col min="29" max="29" width="13.5703125" style="36" customWidth="1"/>
    <col min="30" max="30" width="13.140625" style="36" customWidth="1"/>
    <col min="31" max="31" width="11" style="36" customWidth="1"/>
    <col min="32" max="32" width="12.5703125" style="46" customWidth="1"/>
    <col min="33" max="33" width="10.140625" style="29" customWidth="1"/>
    <col min="34" max="34" width="10.7109375" style="8" customWidth="1"/>
    <col min="35" max="35" width="10.7109375" style="29" customWidth="1"/>
    <col min="36" max="36" width="10.7109375" style="54" customWidth="1"/>
    <col min="37" max="40" width="10.7109375" style="29" customWidth="1"/>
    <col min="41" max="43" width="10.7109375" style="29" customWidth="1" outlineLevel="1"/>
    <col min="44" max="44" width="16.85546875" style="54" customWidth="1" outlineLevel="1"/>
    <col min="45" max="46" width="16.85546875" style="29" customWidth="1" outlineLevel="1"/>
    <col min="47" max="47" width="5.28515625" style="8" outlineLevel="1"/>
    <col min="48" max="50" width="13.42578125" style="23" bestFit="1" customWidth="1" outlineLevel="1"/>
    <col min="51" max="51" width="14.85546875" style="23" bestFit="1" customWidth="1" outlineLevel="1"/>
    <col min="52" max="53" width="14.5703125" style="23" bestFit="1" customWidth="1"/>
    <col min="54" max="54" width="13.5703125" style="23" bestFit="1" customWidth="1"/>
    <col min="55" max="57" width="13.5703125" style="16" bestFit="1" customWidth="1"/>
    <col min="58" max="62" width="12.42578125" style="16" bestFit="1" customWidth="1"/>
    <col min="63" max="74" width="10.42578125" style="16" bestFit="1" customWidth="1"/>
    <col min="75" max="95" width="11.42578125" style="16" bestFit="1" customWidth="1"/>
    <col min="96" max="99" width="12.42578125" style="10" bestFit="1" customWidth="1"/>
    <col min="100" max="133" width="10.42578125" style="10" bestFit="1" customWidth="1"/>
    <col min="134" max="16384" width="5.28515625" style="10"/>
  </cols>
  <sheetData>
    <row r="1" spans="1:99" ht="12" customHeight="1" x14ac:dyDescent="0.2">
      <c r="A1" s="33" t="s">
        <v>81</v>
      </c>
      <c r="B1" s="11" t="s">
        <v>0</v>
      </c>
      <c r="C1" s="11" t="s">
        <v>1</v>
      </c>
      <c r="D1" s="31" t="s">
        <v>2</v>
      </c>
      <c r="E1" s="40" t="s">
        <v>131</v>
      </c>
      <c r="F1" s="31" t="s">
        <v>6</v>
      </c>
      <c r="G1" s="31" t="s">
        <v>110</v>
      </c>
      <c r="H1" s="31" t="s">
        <v>1</v>
      </c>
      <c r="I1" s="31" t="s">
        <v>8</v>
      </c>
      <c r="J1" s="31" t="s">
        <v>7</v>
      </c>
      <c r="K1" s="31" t="s">
        <v>127</v>
      </c>
      <c r="L1" s="31" t="s">
        <v>122</v>
      </c>
      <c r="M1" s="31" t="s">
        <v>125</v>
      </c>
      <c r="N1" s="31" t="s">
        <v>123</v>
      </c>
      <c r="O1" s="31" t="s">
        <v>5</v>
      </c>
      <c r="P1" s="31" t="s">
        <v>126</v>
      </c>
      <c r="Q1" s="31" t="s">
        <v>3</v>
      </c>
      <c r="R1" s="31" t="s">
        <v>124</v>
      </c>
      <c r="S1" s="31" t="s">
        <v>4</v>
      </c>
      <c r="T1" s="31" t="s">
        <v>68</v>
      </c>
      <c r="U1" s="31" t="s">
        <v>165</v>
      </c>
      <c r="V1" s="31" t="s">
        <v>120</v>
      </c>
      <c r="W1" s="31" t="s">
        <v>121</v>
      </c>
      <c r="X1" s="31" t="s">
        <v>128</v>
      </c>
      <c r="Y1" s="40" t="s">
        <v>117</v>
      </c>
      <c r="Z1" s="31" t="s">
        <v>129</v>
      </c>
      <c r="AA1" s="31" t="s">
        <v>87</v>
      </c>
      <c r="AB1" s="31" t="s">
        <v>85</v>
      </c>
      <c r="AC1" s="31" t="s">
        <v>86</v>
      </c>
      <c r="AD1" s="31" t="s">
        <v>130</v>
      </c>
      <c r="AE1" s="31" t="s">
        <v>118</v>
      </c>
      <c r="AF1" s="44" t="s">
        <v>119</v>
      </c>
      <c r="AG1" s="27" t="s">
        <v>114</v>
      </c>
      <c r="AH1" s="4"/>
      <c r="AI1" s="58" t="s">
        <v>76</v>
      </c>
      <c r="AJ1" s="52" t="s">
        <v>74</v>
      </c>
      <c r="AK1" s="27" t="s">
        <v>9</v>
      </c>
      <c r="AL1" s="58" t="s">
        <v>77</v>
      </c>
      <c r="AM1" s="27" t="s">
        <v>10</v>
      </c>
      <c r="AN1" s="27" t="s">
        <v>11</v>
      </c>
      <c r="AO1" s="58" t="s">
        <v>162</v>
      </c>
      <c r="AP1" s="27" t="s">
        <v>80</v>
      </c>
      <c r="AQ1" s="58" t="s">
        <v>163</v>
      </c>
      <c r="AR1" s="52" t="s">
        <v>78</v>
      </c>
      <c r="AS1" s="58" t="s">
        <v>164</v>
      </c>
      <c r="AT1" s="27" t="s">
        <v>79</v>
      </c>
      <c r="AU1" s="4"/>
      <c r="AV1" s="7" t="s">
        <v>75</v>
      </c>
      <c r="AW1" s="7"/>
      <c r="AX1" s="7"/>
      <c r="AY1" s="7"/>
      <c r="AZ1" s="7"/>
      <c r="BA1" s="7"/>
      <c r="BB1" s="7"/>
      <c r="BC1" s="6"/>
      <c r="BD1" s="6"/>
      <c r="BE1" s="6"/>
      <c r="BF1" s="6"/>
      <c r="BG1" s="6"/>
      <c r="BH1" s="6"/>
      <c r="BI1" s="6"/>
      <c r="BJ1" s="6"/>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11"/>
      <c r="CS1" s="11"/>
      <c r="CT1" s="11"/>
      <c r="CU1" s="11"/>
    </row>
    <row r="2" spans="1:99" s="68" customFormat="1" ht="12" customHeight="1" x14ac:dyDescent="0.2">
      <c r="A2" s="94">
        <v>43509</v>
      </c>
      <c r="B2" s="95"/>
      <c r="C2" s="95"/>
      <c r="D2" s="96"/>
      <c r="E2" s="97"/>
      <c r="F2" s="96"/>
      <c r="G2" s="96"/>
      <c r="H2" s="96"/>
      <c r="I2" s="96"/>
      <c r="J2" s="96"/>
      <c r="K2" s="77"/>
      <c r="L2" s="96"/>
      <c r="M2" s="96"/>
      <c r="N2" s="96"/>
      <c r="O2" s="96"/>
      <c r="P2" s="96"/>
      <c r="Q2" s="96"/>
      <c r="R2" s="77"/>
      <c r="S2" s="96"/>
      <c r="T2" s="77"/>
      <c r="U2" s="32"/>
      <c r="V2" s="96"/>
      <c r="W2" s="77"/>
      <c r="X2" s="96"/>
      <c r="Y2" s="98"/>
      <c r="Z2" s="96"/>
      <c r="AA2" s="96"/>
      <c r="AB2" s="77"/>
      <c r="AC2" s="77"/>
      <c r="AD2" s="77"/>
      <c r="AE2" s="77"/>
      <c r="AF2" s="99"/>
      <c r="AG2" s="100"/>
      <c r="AH2" s="62"/>
      <c r="AI2" s="49"/>
      <c r="AJ2" s="56"/>
      <c r="AK2" s="49"/>
      <c r="AL2" s="49"/>
      <c r="AM2" s="49"/>
      <c r="AN2" s="49"/>
      <c r="AO2" s="49"/>
      <c r="AP2" s="49"/>
      <c r="AQ2" s="49"/>
      <c r="AR2" s="49"/>
      <c r="AS2" s="104"/>
      <c r="AT2" s="104"/>
      <c r="AU2" s="62"/>
      <c r="AV2" s="107">
        <f>5*60</f>
        <v>300</v>
      </c>
      <c r="AW2" s="107">
        <f>2*24*3600</f>
        <v>172800</v>
      </c>
      <c r="AX2" s="107">
        <f>7*24*3600</f>
        <v>604800</v>
      </c>
      <c r="AY2" s="108"/>
      <c r="AZ2" s="108"/>
      <c r="BA2" s="108"/>
      <c r="BB2" s="108"/>
      <c r="BC2" s="108"/>
      <c r="BD2" s="108"/>
      <c r="BE2" s="108"/>
      <c r="BF2" s="108"/>
      <c r="BG2" s="108"/>
      <c r="BH2" s="108"/>
      <c r="BI2" s="108"/>
      <c r="BJ2" s="108"/>
      <c r="BK2" s="108"/>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2"/>
      <c r="CS2" s="92"/>
      <c r="CT2" s="92"/>
      <c r="CU2" s="92"/>
    </row>
    <row r="3" spans="1:99" s="68" customFormat="1" ht="12" customHeight="1" x14ac:dyDescent="0.2">
      <c r="A3" s="94">
        <v>43509</v>
      </c>
      <c r="B3" s="95" t="s">
        <v>192</v>
      </c>
      <c r="C3" s="95" t="s">
        <v>193</v>
      </c>
      <c r="D3" s="96">
        <v>1982</v>
      </c>
      <c r="E3" s="97">
        <v>1</v>
      </c>
      <c r="F3" s="96">
        <v>237</v>
      </c>
      <c r="G3" s="96">
        <v>10</v>
      </c>
      <c r="H3" s="96" t="s">
        <v>28</v>
      </c>
      <c r="I3" s="96" t="s">
        <v>194</v>
      </c>
      <c r="J3" s="96" t="s">
        <v>88</v>
      </c>
      <c r="K3" s="77" t="str">
        <f>IF(J3="syllables","1",IF(J3="trigrams","2",IF(J3="trigram-word pairs","3",IF(J3="visual array","4",IF(J3="characters","5",IF(J3="letters","6",IF(J3="free forms","7",IF(J3="odors","8",IF(J3="words","9",IF(J3="pictures","10",IF(J3="object pictures","11",IF(J3="faces","12",IF(J3="names","13",IF(J3="syllable-digit pairs","14",IF(J3="word-digit pairs","15",IF(J3="English-Swahili pairs","16",IF(J3="word pairs","17",IF(J3="word triads","18",IF(J3="generated words","19",IF(J3="word definition pairs","20",IF(J3="math problems","21",IF(J3="sentences","22",IF(J3="idioms","23",IF(J3="concepts","24",IF(J3="ad slides","25",IF(J3="scenes","26",IF(J3="poems","27",IF(J3="walk","28",IF(J3="flashbulb","29",IF(J3="stories","30",IF(J3="course material","31",IF(J3="grades","32",IF(J3="autobiographical","33",IF(J3="novels","34",IF(J3="spatial position","35",IF(J3="famous faces","36",IF(J3="famous names","37",IF(J3="famous voices","38",IF(J3="famous scenes","39",IF(J3="public events","40",IF(J3="faces and events","41",IF(J3="events and names","42",IF(J3="television programs","43",IF(J3="race horses","44",IF(J3="new vocabulary","45",IF(J3="order","90","99"))))))))))))))))))))))))))))))))))))))))))))))</f>
        <v>12</v>
      </c>
      <c r="L3" s="96">
        <v>2</v>
      </c>
      <c r="M3" s="96" t="s">
        <v>195</v>
      </c>
      <c r="N3" s="96">
        <v>1</v>
      </c>
      <c r="O3" s="96" t="s">
        <v>195</v>
      </c>
      <c r="P3" s="96"/>
      <c r="Q3" s="96" t="s">
        <v>18</v>
      </c>
      <c r="R3" s="77" t="str">
        <f>IF(Q3="Free Recall","1",IF(Q3="Cued Recall","2",IF(Q3="Recognition","3",IF(Q3="Multiple Choice","4",IF(Q3="Savings","5",IF(Q3="Stem Completion","6",IF(Q3="Fragment Completion","7",IF(Q3="anagram solution","8",IF(Q3="Matching","9",IF(Q3="Problem Solving","10","99"))))))))))</f>
        <v>3</v>
      </c>
      <c r="S3" s="96" t="s">
        <v>196</v>
      </c>
      <c r="T3" s="77" t="s">
        <v>72</v>
      </c>
      <c r="U3" s="32">
        <f>IF(T3="within",1,0)</f>
        <v>0</v>
      </c>
      <c r="V3" s="96">
        <v>12</v>
      </c>
      <c r="W3" s="77">
        <f>F3*V3</f>
        <v>2844</v>
      </c>
      <c r="X3" s="96">
        <v>3</v>
      </c>
      <c r="Y3" s="98">
        <f>AV2</f>
        <v>300</v>
      </c>
      <c r="Z3" s="96" t="s">
        <v>41</v>
      </c>
      <c r="AA3" s="96">
        <f>7*24*3600</f>
        <v>604800</v>
      </c>
      <c r="AB3" s="77" t="str">
        <f>IF(AA3&lt;60,"1",IF(AA3&lt;=43200,"2",IF(AA3&lt;=777600,"3","4")))</f>
        <v>3</v>
      </c>
      <c r="AC3" s="100">
        <f>AVERAGE(AV2:DA2)</f>
        <v>259300</v>
      </c>
      <c r="AD3" s="77" t="str">
        <f>IF(AC3&lt;60,"1",IF(AC3&lt;=43200,"2",IF(AC3&lt;=777600,"3","4")))</f>
        <v>3</v>
      </c>
      <c r="AE3" s="98">
        <f>AA3-Y3</f>
        <v>604500</v>
      </c>
      <c r="AF3" s="99">
        <f>AV3</f>
        <v>1.52</v>
      </c>
      <c r="AG3" s="100">
        <f>((AW3-AV3)+(AX3-AW3))/2</f>
        <v>-7.0000000000000062E-2</v>
      </c>
      <c r="AH3" s="62"/>
      <c r="AI3" s="100">
        <f>RSQ(AV3:AX3,AV2:AX2)</f>
        <v>0.17898461536158486</v>
      </c>
      <c r="AJ3" s="105">
        <f>SLOPE(AV3:AX3,AV2:AX2)</f>
        <v>-1.5128897276643822E-7</v>
      </c>
      <c r="AK3" s="100">
        <f>INTERCEPT(AV3:AX3,AV2:AX2)</f>
        <v>1.4392292306383376</v>
      </c>
      <c r="AL3" s="100">
        <f>INDEX(LINEST(LN(AV3:AX3),LN(AV2:AX2),TRUE,TRUE),3,1)</f>
        <v>0.73364435699807629</v>
      </c>
      <c r="AM3" s="100">
        <f>INDEX(LINEST(LN(AV3:AX3),LN(AV2:AX2)),1)</f>
        <v>-1.6564050588993136E-2</v>
      </c>
      <c r="AN3" s="100">
        <f>EXP(INDEX(LINEST(LN(AV3:AX3),LN(AV2:AX2)),1,2))</f>
        <v>1.6585924316232432</v>
      </c>
      <c r="AO3" s="104">
        <f>INDEX(LINEST((AV3:AX3),LN(AV2:AX2),TRUE,TRUE),3,1)</f>
        <v>0.75175730569789856</v>
      </c>
      <c r="AP3" s="104">
        <f>INDEX(LINEST((AV3:AX3),LN(AV2:AX2)),1)</f>
        <v>-2.3665728537810529E-2</v>
      </c>
      <c r="AQ3" s="48">
        <f>INDEX(LINEST(LN(AV3:AX3),SQRT(AV2:AX2),TRUE,TRUE),3,1)</f>
        <v>0.40191031156365464</v>
      </c>
      <c r="AR3" s="56">
        <f>INDEX(LINEST(LN(AV3:AX3),SQRT((AV2:AX2))),1)</f>
        <v>-1.3150991215941414E-4</v>
      </c>
      <c r="AS3" s="49">
        <f>INDEX(LINEST(1/(AV3:AX3),1/(SQRT(AV2:AX2)),TRUE,TRUE),3,1)</f>
        <v>0.82879698048768202</v>
      </c>
      <c r="AT3" s="49">
        <f>INDEX(LINEST(1/(AV3:AX3),1/SQRT(AV2:AX2)),1)</f>
        <v>-1.5806753237635172</v>
      </c>
      <c r="AU3" s="63"/>
      <c r="AV3" s="108">
        <v>1.52</v>
      </c>
      <c r="AW3" s="108">
        <v>1.3</v>
      </c>
      <c r="AX3" s="108">
        <v>1.38</v>
      </c>
      <c r="AY3" s="108"/>
      <c r="AZ3" s="108"/>
      <c r="BA3" s="108"/>
      <c r="BB3" s="108"/>
      <c r="BC3" s="108"/>
      <c r="BD3" s="108"/>
      <c r="BE3" s="108"/>
      <c r="BF3" s="108"/>
      <c r="BG3" s="108"/>
      <c r="BH3" s="108"/>
      <c r="BI3" s="108"/>
      <c r="BJ3" s="108"/>
      <c r="BK3" s="108"/>
      <c r="BL3" s="93"/>
      <c r="BM3" s="93"/>
      <c r="BN3" s="93"/>
      <c r="BO3" s="93"/>
      <c r="BP3" s="93"/>
      <c r="BQ3" s="93"/>
      <c r="BR3" s="93"/>
      <c r="BS3" s="93"/>
      <c r="BT3" s="93"/>
      <c r="BU3" s="93"/>
      <c r="BV3" s="93"/>
      <c r="BW3" s="93"/>
      <c r="BX3" s="93"/>
      <c r="BY3" s="93"/>
      <c r="BZ3" s="93"/>
      <c r="CA3" s="93"/>
      <c r="CB3" s="93"/>
      <c r="CC3" s="93"/>
      <c r="CD3" s="93"/>
      <c r="CE3" s="93"/>
      <c r="CF3" s="93"/>
      <c r="CG3" s="93"/>
      <c r="CH3" s="93"/>
      <c r="CI3" s="93"/>
      <c r="CJ3" s="93"/>
      <c r="CK3" s="93"/>
      <c r="CL3" s="93"/>
      <c r="CM3" s="93"/>
      <c r="CN3" s="93"/>
      <c r="CO3" s="93"/>
      <c r="CP3" s="93"/>
      <c r="CQ3" s="93"/>
      <c r="CR3" s="92"/>
      <c r="CS3" s="92"/>
      <c r="CT3" s="92"/>
      <c r="CU3" s="92"/>
    </row>
    <row r="4" spans="1:99" s="68" customFormat="1" ht="12" customHeight="1" x14ac:dyDescent="0.2">
      <c r="A4" s="94">
        <v>43509</v>
      </c>
      <c r="B4" s="95"/>
      <c r="C4" s="95"/>
      <c r="D4" s="96"/>
      <c r="E4" s="97"/>
      <c r="F4" s="96"/>
      <c r="G4" s="96"/>
      <c r="H4" s="96"/>
      <c r="I4" s="96"/>
      <c r="J4" s="96"/>
      <c r="K4" s="77"/>
      <c r="L4" s="96"/>
      <c r="M4" s="96"/>
      <c r="N4" s="96"/>
      <c r="O4" s="96"/>
      <c r="P4" s="96"/>
      <c r="Q4" s="96"/>
      <c r="R4" s="77"/>
      <c r="S4" s="96"/>
      <c r="T4" s="77"/>
      <c r="U4" s="32"/>
      <c r="V4" s="96"/>
      <c r="W4" s="77"/>
      <c r="X4" s="96"/>
      <c r="Y4" s="98"/>
      <c r="Z4" s="96"/>
      <c r="AA4" s="96"/>
      <c r="AB4" s="77"/>
      <c r="AC4" s="77"/>
      <c r="AD4" s="77"/>
      <c r="AE4" s="77"/>
      <c r="AF4" s="99"/>
      <c r="AG4" s="100"/>
      <c r="AH4" s="84"/>
      <c r="AI4" s="49"/>
      <c r="AJ4" s="56"/>
      <c r="AK4" s="49"/>
      <c r="AL4" s="49"/>
      <c r="AM4" s="49"/>
      <c r="AN4" s="49"/>
      <c r="AO4" s="49"/>
      <c r="AP4" s="49"/>
      <c r="AQ4" s="49"/>
      <c r="AR4" s="56"/>
      <c r="AS4" s="49"/>
      <c r="AT4" s="49"/>
      <c r="AU4" s="62"/>
      <c r="AV4" s="107">
        <f>5*60</f>
        <v>300</v>
      </c>
      <c r="AW4" s="107">
        <f>2*24*3600</f>
        <v>172800</v>
      </c>
      <c r="AX4" s="107">
        <f>7*24*3600</f>
        <v>604800</v>
      </c>
      <c r="AY4" s="108"/>
      <c r="AZ4" s="108"/>
      <c r="BA4" s="108"/>
      <c r="BB4" s="108"/>
      <c r="BC4" s="108"/>
      <c r="BD4" s="108"/>
      <c r="BE4" s="108"/>
      <c r="BF4" s="108"/>
      <c r="BG4" s="108"/>
      <c r="BH4" s="108"/>
      <c r="BI4" s="108"/>
      <c r="BJ4" s="108"/>
      <c r="BK4" s="108"/>
      <c r="BL4" s="93"/>
      <c r="BM4" s="93"/>
      <c r="BN4" s="93"/>
      <c r="BO4" s="93"/>
      <c r="BP4" s="93"/>
      <c r="BQ4" s="93"/>
      <c r="BR4" s="93"/>
      <c r="BS4" s="93"/>
      <c r="BT4" s="93"/>
      <c r="BU4" s="93"/>
      <c r="BV4" s="93"/>
      <c r="BW4" s="93"/>
      <c r="BX4" s="93"/>
      <c r="BY4" s="93"/>
      <c r="BZ4" s="93"/>
      <c r="CA4" s="93"/>
      <c r="CB4" s="93"/>
      <c r="CC4" s="93"/>
      <c r="CD4" s="93"/>
      <c r="CE4" s="93"/>
      <c r="CF4" s="93"/>
      <c r="CG4" s="93"/>
      <c r="CH4" s="93"/>
      <c r="CI4" s="93"/>
      <c r="CJ4" s="93"/>
      <c r="CK4" s="93"/>
      <c r="CL4" s="93"/>
      <c r="CM4" s="93"/>
      <c r="CN4" s="93"/>
      <c r="CO4" s="93"/>
      <c r="CP4" s="93"/>
      <c r="CQ4" s="93"/>
      <c r="CR4" s="92"/>
      <c r="CS4" s="92"/>
      <c r="CT4" s="92"/>
      <c r="CU4" s="92"/>
    </row>
    <row r="5" spans="1:99" s="68" customFormat="1" ht="12" customHeight="1" x14ac:dyDescent="0.2">
      <c r="A5" s="94">
        <v>43509</v>
      </c>
      <c r="B5" s="95" t="s">
        <v>192</v>
      </c>
      <c r="C5" s="95" t="s">
        <v>193</v>
      </c>
      <c r="D5" s="96">
        <v>1982</v>
      </c>
      <c r="E5" s="97">
        <v>1</v>
      </c>
      <c r="F5" s="96">
        <v>237</v>
      </c>
      <c r="G5" s="96">
        <v>10</v>
      </c>
      <c r="H5" s="96" t="s">
        <v>28</v>
      </c>
      <c r="I5" s="96" t="s">
        <v>197</v>
      </c>
      <c r="J5" s="96" t="s">
        <v>88</v>
      </c>
      <c r="K5" s="77" t="str">
        <f>IF(J5="syllables","1",IF(J5="trigrams","2",IF(J5="trigram-word pairs","3",IF(J5="visual array","4",IF(J5="characters","5",IF(J5="letters","6",IF(J5="free forms","7",IF(J5="odors","8",IF(J5="words","9",IF(J5="pictures","10",IF(J5="object pictures","11",IF(J5="faces","12",IF(J5="names","13",IF(J5="syllable-digit pairs","14",IF(J5="word-digit pairs","15",IF(J5="English-Swahili pairs","16",IF(J5="word pairs","17",IF(J5="word triads","18",IF(J5="generated words","19",IF(J5="word definition pairs","20",IF(J5="math problems","21",IF(J5="sentences","22",IF(J5="idioms","23",IF(J5="concepts","24",IF(J5="ad slides","25",IF(J5="scenes","26",IF(J5="poems","27",IF(J5="walk","28",IF(J5="flashbulb","29",IF(J5="stories","30",IF(J5="course material","31",IF(J5="grades","32",IF(J5="autobiographical","33",IF(J5="novels","34",IF(J5="spatial position","35",IF(J5="famous faces","36",IF(J5="famous names","37",IF(J5="famous voices","38",IF(J5="famous scenes","39",IF(J5="public events","40",IF(J5="faces and events","41",IF(J5="events and names","42",IF(J5="television programs","43",IF(J5="race horses","44",IF(J5="new vocabulary","45",IF(J5="order","90","99"))))))))))))))))))))))))))))))))))))))))))))))</f>
        <v>12</v>
      </c>
      <c r="L5" s="96">
        <v>2</v>
      </c>
      <c r="M5" s="96" t="s">
        <v>195</v>
      </c>
      <c r="N5" s="96">
        <v>1</v>
      </c>
      <c r="O5" s="96" t="s">
        <v>195</v>
      </c>
      <c r="P5" s="96"/>
      <c r="Q5" s="96" t="s">
        <v>18</v>
      </c>
      <c r="R5" s="77" t="str">
        <f>IF(Q5="Free Recall","1",IF(Q5="Cued Recall","2",IF(Q5="Recognition","3",IF(Q5="Multiple Choice","4",IF(Q5="Savings","5",IF(Q5="Stem Completion","6",IF(Q5="Fragment Completion","7",IF(Q5="anagram solution","8",IF(Q5="Matching","9",IF(Q5="Problem Solving","10","99"))))))))))</f>
        <v>3</v>
      </c>
      <c r="S5" s="96" t="s">
        <v>196</v>
      </c>
      <c r="T5" s="77" t="s">
        <v>72</v>
      </c>
      <c r="U5" s="32">
        <f>IF(T5="within",1,0)</f>
        <v>0</v>
      </c>
      <c r="V5" s="96">
        <v>12</v>
      </c>
      <c r="W5" s="77">
        <f>F5*V5</f>
        <v>2844</v>
      </c>
      <c r="X5" s="96">
        <v>3</v>
      </c>
      <c r="Y5" s="98">
        <f>AV4</f>
        <v>300</v>
      </c>
      <c r="Z5" s="96" t="s">
        <v>41</v>
      </c>
      <c r="AA5" s="96">
        <f>7*24*3600</f>
        <v>604800</v>
      </c>
      <c r="AB5" s="77" t="str">
        <f>IF(AA5&lt;60,"1",IF(AA5&lt;=43200,"2",IF(AA5&lt;=777600,"3","4")))</f>
        <v>3</v>
      </c>
      <c r="AC5" s="100">
        <f>AVERAGE(AV4:DA4)</f>
        <v>259300</v>
      </c>
      <c r="AD5" s="77" t="str">
        <f>IF(AC5&lt;60,"1",IF(AC5&lt;=43200,"2",IF(AC5&lt;=777600,"3","4")))</f>
        <v>3</v>
      </c>
      <c r="AE5" s="98">
        <f>AA5-Y5</f>
        <v>604500</v>
      </c>
      <c r="AF5" s="99">
        <f>AV5</f>
        <v>1.41</v>
      </c>
      <c r="AG5" s="100">
        <f>((AW5-AV5)+(AX5-AW5))/2</f>
        <v>-0.26499999999999996</v>
      </c>
      <c r="AH5" s="84"/>
      <c r="AI5" s="100">
        <f>RSQ(AV5:AX5,AV4:AX4)</f>
        <v>0.85990885663636107</v>
      </c>
      <c r="AJ5" s="105">
        <f>SLOPE(AV5:AX5,AV4:AX4)</f>
        <v>-7.9702578461173544E-7</v>
      </c>
      <c r="AK5" s="100">
        <f>INTERCEPT(AV5:AX5,AV4:AX4)</f>
        <v>1.3300021192831564</v>
      </c>
      <c r="AL5" s="100">
        <f>INDEX(LINEST(LN(AV5:AX5),LN(AV4:AX4),TRUE,TRUE),3,1)</f>
        <v>0.91609823248729216</v>
      </c>
      <c r="AM5" s="100">
        <f>INDEX(LINEST(LN(AV5:AX5),LN(AV4:AX4)),1)</f>
        <v>-5.5457948701854352E-2</v>
      </c>
      <c r="AN5" s="100">
        <f>EXP(INDEX(LINEST(LN(AV5:AX5),LN(AV4:AX4)),1,2))</f>
        <v>1.9582454304301427</v>
      </c>
      <c r="AO5" s="104">
        <f>INDEX(LINEST((AV5:AX5),LN(AV4:AX4),TRUE,TRUE),3,1)</f>
        <v>0.94856888179893706</v>
      </c>
      <c r="AP5" s="104">
        <f>INDEX(LINEST((AV5:AX5),LN(AV4:AX4)),1)</f>
        <v>-6.3894315861153031E-2</v>
      </c>
      <c r="AQ5" s="48">
        <f>INDEX(LINEST(LN(AV5:AX5),SQRT(AV4:AX4),TRUE,TRUE),3,1)</f>
        <v>0.99770051919906433</v>
      </c>
      <c r="AR5" s="56">
        <f>INDEX(LINEST(LN(AV5:AX5),SQRT((AV4:AX4))),1)</f>
        <v>-6.2081618972226367E-4</v>
      </c>
      <c r="AS5" s="49">
        <f>INDEX(LINEST(1/(AV5:AX5),1/(SQRT(AV4:AX4)),TRUE,TRUE),3,1)</f>
        <v>0.77201915301411728</v>
      </c>
      <c r="AT5" s="49">
        <f>INDEX(LINEST(1/(AV5:AX5),1/SQRT(AV4:AX4)),1)</f>
        <v>-5.8148757091808729</v>
      </c>
      <c r="AU5" s="63"/>
      <c r="AV5" s="108">
        <v>1.41</v>
      </c>
      <c r="AW5" s="108">
        <v>1.08</v>
      </c>
      <c r="AX5" s="108">
        <v>0.88</v>
      </c>
      <c r="AY5" s="108"/>
      <c r="AZ5" s="108"/>
      <c r="BA5" s="108"/>
      <c r="BB5" s="108"/>
      <c r="BC5" s="108"/>
      <c r="BD5" s="108"/>
      <c r="BE5" s="108"/>
      <c r="BF5" s="108"/>
      <c r="BG5" s="108"/>
      <c r="BH5" s="108"/>
      <c r="BI5" s="108"/>
      <c r="BJ5" s="108"/>
      <c r="BK5" s="108"/>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2"/>
      <c r="CS5" s="92"/>
      <c r="CT5" s="92"/>
      <c r="CU5" s="92"/>
    </row>
    <row r="6" spans="1:99" ht="12" customHeight="1" x14ac:dyDescent="0.2">
      <c r="A6" s="37">
        <v>43509</v>
      </c>
      <c r="B6" s="11"/>
      <c r="C6" s="11"/>
      <c r="D6" s="31"/>
      <c r="E6" s="40"/>
      <c r="F6" s="31"/>
      <c r="G6" s="31"/>
      <c r="H6" s="31"/>
      <c r="I6" s="31"/>
      <c r="J6" s="31"/>
      <c r="M6" s="31"/>
      <c r="N6" s="31"/>
      <c r="O6" s="31"/>
      <c r="P6" s="31"/>
      <c r="Q6" s="31"/>
      <c r="R6" s="32"/>
      <c r="S6" s="31"/>
      <c r="T6" s="31"/>
      <c r="U6" s="32"/>
      <c r="V6" s="31"/>
      <c r="W6" s="32"/>
      <c r="X6" s="31"/>
      <c r="Y6" s="41"/>
      <c r="Z6" s="31"/>
      <c r="AA6" s="31"/>
      <c r="AB6" s="32"/>
      <c r="AC6" s="32"/>
      <c r="AD6" s="32"/>
      <c r="AE6" s="32"/>
      <c r="AF6" s="45"/>
      <c r="AG6" s="28"/>
      <c r="AH6" s="4"/>
      <c r="AI6" s="27"/>
      <c r="AJ6" s="52"/>
      <c r="AK6" s="27"/>
      <c r="AL6" s="27"/>
      <c r="AM6" s="27"/>
      <c r="AN6" s="27"/>
      <c r="AO6" s="27"/>
      <c r="AP6" s="27"/>
      <c r="AQ6" s="27"/>
      <c r="AR6" s="52"/>
      <c r="AS6" s="27"/>
      <c r="AT6" s="27"/>
      <c r="AU6" s="3"/>
      <c r="AV6" s="24">
        <v>300</v>
      </c>
      <c r="AW6" s="24">
        <f>2*24*3600</f>
        <v>172800</v>
      </c>
      <c r="AX6" s="24">
        <f>7*24*3600</f>
        <v>604800</v>
      </c>
      <c r="AY6" s="7" t="s">
        <v>111</v>
      </c>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11"/>
      <c r="CS6" s="11"/>
      <c r="CT6" s="11"/>
      <c r="CU6" s="11"/>
    </row>
    <row r="7" spans="1:99" ht="12" customHeight="1" x14ac:dyDescent="0.2">
      <c r="A7" s="37">
        <v>43509</v>
      </c>
      <c r="B7" s="10" t="s">
        <v>73</v>
      </c>
      <c r="C7" s="11" t="s">
        <v>36</v>
      </c>
      <c r="D7" s="31">
        <v>1987</v>
      </c>
      <c r="E7" s="40">
        <v>1</v>
      </c>
      <c r="F7" s="31">
        <v>59</v>
      </c>
      <c r="G7" s="31">
        <v>19.7</v>
      </c>
      <c r="H7" s="31" t="s">
        <v>14</v>
      </c>
      <c r="I7" s="31"/>
      <c r="J7" s="31" t="s">
        <v>60</v>
      </c>
      <c r="K7" s="32">
        <f>IF(J7="syllables",1,IF(J7="trigrams",2,IF(J7="strings",3,IF(J7="visual array",4,IF(J7="characters",5,IF(J7="letters",6,IF(J7="free forms",7,IF(J7="odors",8,IF(J7="words",9,IF(J7="pictures",10,IF(J7="object pictures",11,IF(J7="faces",12,IF(J7="names",13,IF(J7="idioms",14,IF(J7="grades",15,IF(J7="syllable-digit pairs",16,IF(J7="trigram-word pairs",17,IF(J7="word-digit pairs",18,IF(J7="English-Swahili pairs",19,IF(J7="spatial position",20,IF(J7="word pairs",21,IF(J7="word triads",22,IF(J7="generated words",23,IF(J7="word definition pairs",24,IF(J7="math problems",25,IF(J7="famous faces",26,IF(J7="famous names",27,IF(J7="famous voices",28,IF(J7="television programs",29,IF(J7="race horses",30,IF(J7="new vocabulary",31,IF(J7="sentences",32,IF(J7="concepts",33,IF(J7="ad slides",34,IF(J7="scenes",35,IF(J7="famous scenes",36,IF(J7="poems",37,IF(J7="walk",38,IF(J7="faces and events",39,IF(J7="events and names",40,IF(J7="flashbulb",41,IF(J7="stories",42,IF(J7="course material",43,IF(J7="autobiographical",44,IF(J7="novels",45,IF(J7="public events",46,"99"))))))))))))))))))))))))))))))))))))))))))))))</f>
        <v>12</v>
      </c>
      <c r="L7" s="32">
        <f>IF(J7="syllables",1,IF(J7="trigrams",1,IF(J7="strings",1,IF(J7="visual array",1,IF(J7="characters",1,IF(J7="letters",1,IF(J7="free forms",1,IF(J7="odors",2,IF(J7="words",2,IF(J7="pictures",2,IF(J7="object pictures",2,IF(J7="faces",2,IF(J7="names",2,IF(J7="idioms","2",IF(J7="grades",2,IF(J7="syllable-digit pairs",3,IF(J7="trigram-word pairs",3,IF(J7="word-digit pairs",3,IF(J7="English-Swahili pairs",3,IF(J7="spatial position",3,IF(J7="word pairs",4,IF(J7="word triads",4,IF(J7="generated words",4,IF(J7="word definition pairs",4,IF(J7="math problems",4,IF(J7="famous faces",4,IF(J7="famous names",4,IF(J7="famous voices",4,IF(J7="television programs",4,IF(J7="race horses",4,IF(J7="new vocabulary",4,IF(J7="sentences",5,IF(J7="concepts",5,IF(J7="ad slides",5,IF(J7="scenes",5,IF(J7="famous scenes",5,IF(J7="poems",6,IF(J7="walk",6,IF(J7="faces and events",6,IF(J7="events and names",6,IF(J7="flashbulb",7,IF(J7="stories",7,IF(J7="course material",7,IF(J7="autobiographical",7,IF(J7="novels",7,IF(J7="public events",7,"99"))))))))))))))))))))))))))))))))))))))))))))))</f>
        <v>2</v>
      </c>
      <c r="M7" s="31">
        <v>0</v>
      </c>
      <c r="N7" s="31">
        <v>1</v>
      </c>
      <c r="O7" s="31">
        <v>0</v>
      </c>
      <c r="P7" s="31"/>
      <c r="Q7" s="31" t="s">
        <v>18</v>
      </c>
      <c r="R7" s="32">
        <f>IF(Q7="Free Recall",1,IF(Q7="Cued Recall",2,IF(Q7="Recognition",3,IF(Q7="Multiple Choice",4,IF(Q7="Savings",5,IF(Q7="Stem Completion",6,IF(Q7="Fragment Completion",7,IF(Q7="anagram solution",8,IF(Q7="Matching",9,IF(Q7="Problem Solving",10,"99"))))))))))</f>
        <v>3</v>
      </c>
      <c r="S7" s="31" t="s">
        <v>196</v>
      </c>
      <c r="T7" s="31" t="s">
        <v>72</v>
      </c>
      <c r="U7" s="32">
        <f>IF(T7="within",1,0)</f>
        <v>0</v>
      </c>
      <c r="V7" s="31">
        <v>32</v>
      </c>
      <c r="W7" s="32">
        <f>F7*V7</f>
        <v>1888</v>
      </c>
      <c r="X7" s="31">
        <v>3</v>
      </c>
      <c r="Y7" s="41">
        <f>AV6</f>
        <v>300</v>
      </c>
      <c r="Z7" s="31" t="s">
        <v>41</v>
      </c>
      <c r="AA7" s="31">
        <f>7*24*3600</f>
        <v>604800</v>
      </c>
      <c r="AB7" s="32" t="str">
        <f>IF(AA7&lt;60,"1",IF(AA7&lt;=43200,"2",IF(AA7&lt;=777600,"3","4")))</f>
        <v>3</v>
      </c>
      <c r="AC7" s="28">
        <f>AVERAGE(AV6:DA6)</f>
        <v>259300</v>
      </c>
      <c r="AD7" s="32" t="str">
        <f>IF(AC7&lt;60,"1",IF(AC7&lt;=43200,"2",IF(AC7&lt;=777600,"3","4")))</f>
        <v>3</v>
      </c>
      <c r="AE7" s="41">
        <f>AA7-Y7</f>
        <v>604500</v>
      </c>
      <c r="AF7" s="45">
        <f>AV7</f>
        <v>1.728962201966135</v>
      </c>
      <c r="AG7" s="28">
        <f>((AW7-AV7)+(AX7-AW7))/2</f>
        <v>-0.26016881988654439</v>
      </c>
      <c r="AH7" s="4"/>
      <c r="AI7" s="28">
        <f>RSQ(AV7:AX7,AV6:AX6)</f>
        <v>0.94314848170947807</v>
      </c>
      <c r="AJ7" s="51">
        <f>SLOPE(AV7:AX7,AV6:AX6)</f>
        <v>-8.1139982228933265E-7</v>
      </c>
      <c r="AK7" s="28">
        <f>INTERCEPT(AV7:AX7,AV6:AX6)</f>
        <v>1.6795190508529032</v>
      </c>
      <c r="AL7" s="28">
        <f>INDEX(LINEST(LN(AV7:AX7),LN(AV6:AX6),TRUE,TRUE),3,1)</f>
        <v>0.83150795455845461</v>
      </c>
      <c r="AM7" s="28">
        <f>INDEX(LINEST(LN(AV7:AX7),LN(AV6:AX6)),1)</f>
        <v>-4.0070556100340063E-2</v>
      </c>
      <c r="AN7" s="28">
        <f>EXP(INDEX(LINEST(LN(AV7:AX7),LN(AV6:AX6)),1,2))</f>
        <v>2.2014615144976744</v>
      </c>
      <c r="AO7" s="47">
        <f>INDEX(LINEST((AV7:AX7),LN(AV6:AX6),TRUE,TRUE),3,1)</f>
        <v>0.86812080191164687</v>
      </c>
      <c r="AP7" s="47">
        <f>INDEX(LINEST((AV7:AX7),LN(AV6:AX6)),1)</f>
        <v>-5.9417801957902007E-2</v>
      </c>
      <c r="AQ7" s="48">
        <f>INDEX(LINEST(LN(AV7:AX7),SQRT(AV6:AX6),TRUE,TRUE),3,1)</f>
        <v>0.99343119033100502</v>
      </c>
      <c r="AR7" s="56">
        <f>INDEX(LINEST(LN(AV7:AX7),SQRT((AV6:AX6))),1)</f>
        <v>-4.6981969317761986E-4</v>
      </c>
      <c r="AS7" s="49">
        <f>INDEX(LINEST(1/(AV7:AX7),1/(SQRT(AV6:AX6)),TRUE,TRUE),3,1)</f>
        <v>0.67157507956831464</v>
      </c>
      <c r="AT7" s="49">
        <f>INDEX(LINEST(1/(AV7:AX7),1/SQRT(AV6:AX6)),1)</f>
        <v>-3.178673405063615</v>
      </c>
      <c r="AU7" s="3"/>
      <c r="AV7" s="7">
        <v>1.728962201966135</v>
      </c>
      <c r="AW7" s="7">
        <v>1.4697824666406569</v>
      </c>
      <c r="AX7" s="7">
        <v>1.2086245621930463</v>
      </c>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11"/>
      <c r="CS7" s="11"/>
      <c r="CT7" s="11"/>
      <c r="CU7" s="11"/>
    </row>
    <row r="8" spans="1:99" s="9" customFormat="1" ht="12" customHeight="1" x14ac:dyDescent="0.2">
      <c r="A8" s="37">
        <v>43899</v>
      </c>
      <c r="B8" s="1"/>
      <c r="C8" s="1"/>
      <c r="D8" s="32"/>
      <c r="E8" s="41"/>
      <c r="F8" s="32"/>
      <c r="G8" s="32"/>
      <c r="H8" s="32"/>
      <c r="I8" s="39"/>
      <c r="J8" s="32"/>
      <c r="K8" s="36"/>
      <c r="L8" s="36"/>
      <c r="M8" s="32"/>
      <c r="N8" s="33"/>
      <c r="O8" s="32"/>
      <c r="P8" s="32"/>
      <c r="Q8" s="32"/>
      <c r="R8" s="32"/>
      <c r="S8" s="32"/>
      <c r="T8" s="32"/>
      <c r="U8" s="32"/>
      <c r="V8" s="32"/>
      <c r="W8" s="32"/>
      <c r="X8" s="32"/>
      <c r="Y8" s="41"/>
      <c r="Z8" s="32"/>
      <c r="AA8" s="32"/>
      <c r="AB8" s="32"/>
      <c r="AC8" s="28"/>
      <c r="AD8" s="32"/>
      <c r="AE8" s="32"/>
      <c r="AF8" s="45"/>
      <c r="AG8" s="28"/>
      <c r="AH8" s="4"/>
      <c r="AI8" s="28"/>
      <c r="AJ8" s="51"/>
      <c r="AK8" s="28"/>
      <c r="AL8" s="28"/>
      <c r="AM8" s="28"/>
      <c r="AN8" s="28"/>
      <c r="AO8" s="47"/>
      <c r="AP8" s="47"/>
      <c r="AQ8" s="48"/>
      <c r="AR8" s="56"/>
      <c r="AS8" s="49"/>
      <c r="AT8" s="49"/>
      <c r="AU8" s="3"/>
      <c r="AV8" s="18">
        <v>3600</v>
      </c>
      <c r="AW8" s="18">
        <v>172800</v>
      </c>
      <c r="AX8" s="18">
        <v>604800</v>
      </c>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1"/>
      <c r="CS8" s="1"/>
      <c r="CT8" s="1"/>
      <c r="CU8" s="1"/>
    </row>
    <row r="9" spans="1:99" s="9" customFormat="1" ht="12" customHeight="1" x14ac:dyDescent="0.25">
      <c r="A9" s="37">
        <v>43899</v>
      </c>
      <c r="B9" s="1" t="s">
        <v>93</v>
      </c>
      <c r="C9" s="1" t="s">
        <v>42</v>
      </c>
      <c r="D9" s="32">
        <v>1994</v>
      </c>
      <c r="E9" s="40">
        <v>1</v>
      </c>
      <c r="F9" s="32">
        <v>36</v>
      </c>
      <c r="G9" s="32">
        <v>12</v>
      </c>
      <c r="H9" s="32" t="s">
        <v>22</v>
      </c>
      <c r="I9" s="39" t="s">
        <v>94</v>
      </c>
      <c r="J9" s="32" t="s">
        <v>31</v>
      </c>
      <c r="K9" s="32">
        <f>IF(J9="syllables",1,IF(J9="trigrams",2,IF(J9="strings",3,IF(J9="visual array",4,IF(J9="characters",5,IF(J9="letters",6,IF(J9="free forms",7,IF(J9="odors",8,IF(J9="words",9,IF(J9="pictures",10,IF(J9="object pictures",11,IF(J9="faces",12,IF(J9="names",13,IF(J9="idioms",14,IF(J9="grades",15,IF(J9="syllable-digit pairs",16,IF(J9="trigram-word pairs",17,IF(J9="word-digit pairs",18,IF(J9="English-Swahili pairs",19,IF(J9="spatial position",20,IF(J9="word pairs",21,IF(J9="word triads",22,IF(J9="generated words",23,IF(J9="word definition pairs",24,IF(J9="math problems",25,IF(J9="famous faces",26,IF(J9="famous names",27,IF(J9="famous voices",28,IF(J9="television programs",29,IF(J9="race horses",30,IF(J9="new vocabulary",31,IF(J9="sentences",32,IF(J9="concepts",33,IF(J9="ad slides",34,IF(J9="scenes",35,IF(J9="famous scenes",36,IF(J9="poems",37,IF(J9="walk",38,IF(J9="faces and events",39,IF(J9="events and names",40,IF(J9="flashbulb",41,IF(J9="stories",42,IF(J9="course material",43,IF(J9="autobiographical",44,IF(J9="novels",45,IF(J9="public events",46,"99"))))))))))))))))))))))))))))))))))))))))))))))</f>
        <v>42</v>
      </c>
      <c r="L9" s="32">
        <f>IF(J9="syllables",1,IF(J9="trigrams",1,IF(J9="strings",1,IF(J9="visual array",1,IF(J9="characters",1,IF(J9="letters",1,IF(J9="free forms",1,IF(J9="odors",2,IF(J9="words",2,IF(J9="pictures",2,IF(J9="object pictures",2,IF(J9="faces",2,IF(J9="names",2,IF(J9="idioms","2",IF(J9="grades",2,IF(J9="syllable-digit pairs",3,IF(J9="trigram-word pairs",3,IF(J9="word-digit pairs",3,IF(J9="English-Swahili pairs",3,IF(J9="spatial position",3,IF(J9="word pairs",4,IF(J9="word triads",4,IF(J9="generated words",4,IF(J9="word definition pairs",4,IF(J9="math problems",4,IF(J9="famous faces",4,IF(J9="famous names",4,IF(J9="famous voices",4,IF(J9="television programs",4,IF(J9="race horses",4,IF(J9="new vocabulary",4,IF(J9="sentences",5,IF(J9="concepts",5,IF(J9="ad slides",5,IF(J9="scenes",5,IF(J9="famous scenes",5,IF(J9="poems",6,IF(J9="walk",6,IF(J9="faces and events",6,IF(J9="events and names",6,IF(J9="flashbulb",7,IF(J9="stories",7,IF(J9="course material",7,IF(J9="autobiographical",7,IF(J9="novels",7,IF(J9="public events",7,"99"))))))))))))))))))))))))))))))))))))))))))))))</f>
        <v>7</v>
      </c>
      <c r="M9" s="32">
        <v>0</v>
      </c>
      <c r="N9" s="33">
        <v>3</v>
      </c>
      <c r="O9" s="32">
        <v>0</v>
      </c>
      <c r="P9" s="32"/>
      <c r="Q9" s="32" t="s">
        <v>18</v>
      </c>
      <c r="R9" s="32">
        <f>IF(Q9="Free Recall",1,IF(Q9="Cued Recall",2,IF(Q9="Recognition",3,IF(Q9="Multiple Choice",4,IF(Q9="Savings",5,IF(Q9="Stem Completion",6,IF(Q9="Fragment Completion",7,IF(Q9="anagram solution",8,IF(Q9="Matching",9,IF(Q9="Problem Solving",10,"99"))))))))))</f>
        <v>3</v>
      </c>
      <c r="S9" s="96" t="s">
        <v>196</v>
      </c>
      <c r="T9" s="31" t="s">
        <v>72</v>
      </c>
      <c r="U9" s="32">
        <f>IF(T9="within",1,0)</f>
        <v>0</v>
      </c>
      <c r="V9" s="31">
        <v>18</v>
      </c>
      <c r="W9" s="32">
        <f>F9*V9</f>
        <v>648</v>
      </c>
      <c r="X9" s="32">
        <v>3</v>
      </c>
      <c r="Y9" s="41">
        <f>AV8</f>
        <v>3600</v>
      </c>
      <c r="Z9" s="32" t="s">
        <v>41</v>
      </c>
      <c r="AA9" s="32">
        <v>604800</v>
      </c>
      <c r="AB9" s="32" t="str">
        <f>IF(AA9&lt;60,"1",IF(AA9&lt;=43200,"2",IF(AA9&lt;=777600,"3","4")))</f>
        <v>3</v>
      </c>
      <c r="AC9" s="28">
        <f>AVERAGE(AV8:DA8)</f>
        <v>260400</v>
      </c>
      <c r="AD9" s="32" t="str">
        <f>IF(AC9&lt;60,"1",IF(AC9&lt;=43200,"2",IF(AC9&lt;=777600,"3","4")))</f>
        <v>3</v>
      </c>
      <c r="AE9" s="41">
        <f>AA9-Y9</f>
        <v>601200</v>
      </c>
      <c r="AF9" s="45">
        <f>AV9</f>
        <v>1.5117115954463691</v>
      </c>
      <c r="AG9" s="28">
        <f>((AW9-AV9)+(AX9-AW9))/2</f>
        <v>-0.48112108723980856</v>
      </c>
      <c r="AH9" s="4"/>
      <c r="AI9" s="28">
        <f>RSQ(AV9:AX9,AV8:AX8)</f>
        <v>0.79805577907283121</v>
      </c>
      <c r="AJ9" s="51">
        <f>SLOPE(AV9:AX9,AV8:AX8)</f>
        <v>-1.4202323461422935E-6</v>
      </c>
      <c r="AK9" s="28">
        <f>INTERCEPT(AV9:AX9,AV8:AX8)</f>
        <v>1.3386351365847495</v>
      </c>
      <c r="AL9" s="28">
        <f>INDEX(LINEST(LN(AV9:AX9),LN(AV8:AX8),TRUE,TRUE),3,1)</f>
        <v>0.96008946112097304</v>
      </c>
      <c r="AM9" s="28">
        <f>INDEX(LINEST(LN(AV9:AX9),LN(AV8:AX8)),1)</f>
        <v>-0.1863050867167925</v>
      </c>
      <c r="AN9" s="28">
        <f>EXP(INDEX(LINEST(LN(AV9:AX9),LN(AV8:AX8)),1,2))</f>
        <v>7.1442718282128528</v>
      </c>
      <c r="AO9" s="47">
        <f>INDEX(LINEST((AV9:AX9),LN(AV8:AX8),TRUE,TRUE),3,1)</f>
        <v>0.9953782742276045</v>
      </c>
      <c r="AP9" s="47">
        <f>INDEX(LINEST((AV9:AX9),LN(AV8:AX8)),1)</f>
        <v>-0.18409154679495834</v>
      </c>
      <c r="AQ9" s="48">
        <f>INDEX(LINEST(LN(AV9:AX9),SQRT(AV8:AX8),TRUE,TRUE),3,1)</f>
        <v>0.99177095501254231</v>
      </c>
      <c r="AR9" s="56">
        <f>INDEX(LINEST(LN(AV9:AX9),SQRT((AV8:AX8))),1)</f>
        <v>-1.4094928405702406E-3</v>
      </c>
      <c r="AS9" s="49">
        <f>INDEX(LINEST(1/(AV9:AX9),1/(SQRT(AV8:AX8)),TRUE,TRUE),3,1)</f>
        <v>0.75686528851716639</v>
      </c>
      <c r="AT9" s="49">
        <f>INDEX(LINEST(1/(AV9:AX9),1/SQRT(AV8:AX8)),1)</f>
        <v>-58.860521152408815</v>
      </c>
      <c r="AU9" s="3"/>
      <c r="AV9" s="75">
        <v>1.5117115954463691</v>
      </c>
      <c r="AW9" s="75">
        <v>0.8452388845347677</v>
      </c>
      <c r="AX9" s="75">
        <v>0.549469420966752</v>
      </c>
      <c r="AY9" s="25"/>
      <c r="AZ9" s="57"/>
      <c r="BA9" s="57"/>
      <c r="BB9" s="57"/>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1"/>
      <c r="CS9" s="1"/>
      <c r="CT9" s="1"/>
      <c r="CU9" s="1"/>
    </row>
    <row r="10" spans="1:99" s="9" customFormat="1" ht="12" customHeight="1" x14ac:dyDescent="0.2">
      <c r="A10" s="37">
        <v>43899</v>
      </c>
      <c r="B10" s="1"/>
      <c r="C10" s="1"/>
      <c r="D10" s="32"/>
      <c r="E10" s="41"/>
      <c r="F10" s="32"/>
      <c r="G10" s="32"/>
      <c r="H10" s="32"/>
      <c r="I10" s="39"/>
      <c r="J10" s="32"/>
      <c r="K10" s="36"/>
      <c r="L10" s="36"/>
      <c r="M10" s="32"/>
      <c r="N10" s="33"/>
      <c r="O10" s="32"/>
      <c r="P10" s="32"/>
      <c r="Q10" s="32"/>
      <c r="R10" s="32"/>
      <c r="S10" s="96"/>
      <c r="T10" s="32"/>
      <c r="U10" s="32"/>
      <c r="V10" s="32"/>
      <c r="W10" s="32"/>
      <c r="X10" s="32"/>
      <c r="Y10" s="41"/>
      <c r="Z10" s="32"/>
      <c r="AA10" s="32"/>
      <c r="AB10" s="32"/>
      <c r="AC10" s="28"/>
      <c r="AD10" s="32"/>
      <c r="AE10" s="32"/>
      <c r="AF10" s="45"/>
      <c r="AG10" s="28"/>
      <c r="AH10" s="4"/>
      <c r="AI10" s="28"/>
      <c r="AJ10" s="51"/>
      <c r="AK10" s="28"/>
      <c r="AL10" s="28"/>
      <c r="AM10" s="28"/>
      <c r="AN10" s="28"/>
      <c r="AO10" s="47"/>
      <c r="AP10" s="47"/>
      <c r="AQ10" s="48"/>
      <c r="AR10" s="56"/>
      <c r="AS10" s="49"/>
      <c r="AT10" s="49"/>
      <c r="AU10" s="3"/>
      <c r="AV10" s="18">
        <v>3600</v>
      </c>
      <c r="AW10" s="18">
        <v>172800</v>
      </c>
      <c r="AX10" s="18">
        <v>604800</v>
      </c>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1"/>
      <c r="CS10" s="1"/>
      <c r="CT10" s="1"/>
      <c r="CU10" s="1"/>
    </row>
    <row r="11" spans="1:99" s="9" customFormat="1" ht="12" customHeight="1" x14ac:dyDescent="0.2">
      <c r="A11" s="37">
        <v>43899</v>
      </c>
      <c r="B11" s="1" t="s">
        <v>93</v>
      </c>
      <c r="C11" s="1" t="s">
        <v>42</v>
      </c>
      <c r="D11" s="32">
        <v>1994</v>
      </c>
      <c r="E11" s="40">
        <v>1</v>
      </c>
      <c r="F11" s="32">
        <v>36</v>
      </c>
      <c r="G11" s="32">
        <v>12</v>
      </c>
      <c r="H11" s="32" t="s">
        <v>22</v>
      </c>
      <c r="I11" s="39" t="s">
        <v>95</v>
      </c>
      <c r="J11" s="32" t="s">
        <v>31</v>
      </c>
      <c r="K11" s="32">
        <f>IF(J11="syllables",1,IF(J11="trigrams",2,IF(J11="strings",3,IF(J11="visual array",4,IF(J11="characters",5,IF(J11="letters",6,IF(J11="free forms",7,IF(J11="odors",8,IF(J11="words",9,IF(J11="pictures",10,IF(J11="object pictures",11,IF(J11="faces",12,IF(J11="names",13,IF(J11="idioms",14,IF(J11="grades",15,IF(J11="syllable-digit pairs",16,IF(J11="trigram-word pairs",17,IF(J11="word-digit pairs",18,IF(J11="English-Swahili pairs",19,IF(J11="spatial position",20,IF(J11="word pairs",21,IF(J11="word triads",22,IF(J11="generated words",23,IF(J11="word definition pairs",24,IF(J11="math problems",25,IF(J11="famous faces",26,IF(J11="famous names",27,IF(J11="famous voices",28,IF(J11="television programs",29,IF(J11="race horses",30,IF(J11="new vocabulary",31,IF(J11="sentences",32,IF(J11="concepts",33,IF(J11="ad slides",34,IF(J11="scenes",35,IF(J11="famous scenes",36,IF(J11="poems",37,IF(J11="walk",38,IF(J11="faces and events",39,IF(J11="events and names",40,IF(J11="flashbulb",41,IF(J11="stories",42,IF(J11="course material",43,IF(J11="autobiographical",44,IF(J11="novels",45,IF(J11="public events",46,"99"))))))))))))))))))))))))))))))))))))))))))))))</f>
        <v>42</v>
      </c>
      <c r="L11" s="32">
        <f>IF(J11="syllables",1,IF(J11="trigrams",1,IF(J11="strings",1,IF(J11="visual array",1,IF(J11="characters",1,IF(J11="letters",1,IF(J11="free forms",1,IF(J11="odors",2,IF(J11="words",2,IF(J11="pictures",2,IF(J11="object pictures",2,IF(J11="faces",2,IF(J11="names",2,IF(J11="idioms","2",IF(J11="grades",2,IF(J11="syllable-digit pairs",3,IF(J11="trigram-word pairs",3,IF(J11="word-digit pairs",3,IF(J11="English-Swahili pairs",3,IF(J11="spatial position",3,IF(J11="word pairs",4,IF(J11="word triads",4,IF(J11="generated words",4,IF(J11="word definition pairs",4,IF(J11="math problems",4,IF(J11="famous faces",4,IF(J11="famous names",4,IF(J11="famous voices",4,IF(J11="television programs",4,IF(J11="race horses",4,IF(J11="new vocabulary",4,IF(J11="sentences",5,IF(J11="concepts",5,IF(J11="ad slides",5,IF(J11="scenes",5,IF(J11="famous scenes",5,IF(J11="poems",6,IF(J11="walk",6,IF(J11="faces and events",6,IF(J11="events and names",6,IF(J11="flashbulb",7,IF(J11="stories",7,IF(J11="course material",7,IF(J11="autobiographical",7,IF(J11="novels",7,IF(J11="public events",7,"99"))))))))))))))))))))))))))))))))))))))))))))))</f>
        <v>7</v>
      </c>
      <c r="M11" s="32">
        <v>0</v>
      </c>
      <c r="N11" s="33">
        <v>3</v>
      </c>
      <c r="O11" s="32">
        <v>0</v>
      </c>
      <c r="P11" s="32"/>
      <c r="Q11" s="32" t="s">
        <v>18</v>
      </c>
      <c r="R11" s="32">
        <f>IF(Q11="Free Recall",1,IF(Q11="Cued Recall",2,IF(Q11="Recognition",3,IF(Q11="Multiple Choice",4,IF(Q11="Savings",5,IF(Q11="Stem Completion",6,IF(Q11="Fragment Completion",7,IF(Q11="anagram solution",8,IF(Q11="Matching",9,IF(Q11="Problem Solving",10,"99"))))))))))</f>
        <v>3</v>
      </c>
      <c r="S11" s="96" t="s">
        <v>196</v>
      </c>
      <c r="T11" s="31" t="s">
        <v>72</v>
      </c>
      <c r="U11" s="32">
        <f>IF(T11="within",1,0)</f>
        <v>0</v>
      </c>
      <c r="V11" s="31">
        <v>18</v>
      </c>
      <c r="W11" s="32">
        <f>F11*V11</f>
        <v>648</v>
      </c>
      <c r="X11" s="32">
        <v>3</v>
      </c>
      <c r="Y11" s="41">
        <f>AV10</f>
        <v>3600</v>
      </c>
      <c r="Z11" s="32" t="s">
        <v>41</v>
      </c>
      <c r="AA11" s="32">
        <v>604800</v>
      </c>
      <c r="AB11" s="32" t="str">
        <f>IF(AA11&lt;60,"1",IF(AA11&lt;=43200,"2",IF(AA11&lt;=777600,"3","4")))</f>
        <v>3</v>
      </c>
      <c r="AC11" s="28">
        <f>AVERAGE(AV10:DA10)</f>
        <v>260400</v>
      </c>
      <c r="AD11" s="32" t="str">
        <f>IF(AC11&lt;60,"1",IF(AC11&lt;=43200,"2",IF(AC11&lt;=777600,"3","4")))</f>
        <v>3</v>
      </c>
      <c r="AE11" s="41">
        <f>AA11-Y11</f>
        <v>601200</v>
      </c>
      <c r="AF11" s="45">
        <f>AV11</f>
        <v>3.280277030668433</v>
      </c>
      <c r="AG11" s="28">
        <f>((AW11-AV11)+(AX11-AW11))/2</f>
        <v>-0.75837333855380196</v>
      </c>
      <c r="AH11" s="4"/>
      <c r="AI11" s="28">
        <f>RSQ(AV11:AX11,AV10:AX10)</f>
        <v>0.63140978095877454</v>
      </c>
      <c r="AJ11" s="51">
        <f>SLOPE(AV11:AX11,AV10:AX10)</f>
        <v>-2.1150350173119778E-6</v>
      </c>
      <c r="AK11" s="28">
        <f>INTERCEPT(AV11:AX11,AV10:AX10)</f>
        <v>2.8848430065395623</v>
      </c>
      <c r="AL11" s="28">
        <f>INDEX(LINEST(LN(AV11:AX11),LN(AV10:AX10),TRUE,TRUE),3,1)</f>
        <v>0.99388971410342841</v>
      </c>
      <c r="AM11" s="28">
        <f>INDEX(LINEST(LN(AV11:AX11),LN(AV10:AX10)),1)</f>
        <v>-0.12398739227197249</v>
      </c>
      <c r="AN11" s="28">
        <f>EXP(INDEX(LINEST(LN(AV11:AX11),LN(AV10:AX10)),1,2))</f>
        <v>8.9906989978999796</v>
      </c>
      <c r="AO11" s="47">
        <f>INDEX(LINEST((AV11:AX11),LN(AV10:AX10),TRUE,TRUE),3,1)</f>
        <v>0.98606622776279484</v>
      </c>
      <c r="AP11" s="47">
        <f>INDEX(LINEST((AV11:AX11),LN(AV10:AX10)),1)</f>
        <v>-0.30676933430138875</v>
      </c>
      <c r="AQ11" s="48">
        <f>INDEX(LINEST(LN(AV11:AX11),SQRT(AV10:AX10),TRUE,TRUE),3,1)</f>
        <v>0.86908816835378344</v>
      </c>
      <c r="AR11" s="56">
        <f>INDEX(LINEST(LN(AV11:AX11),SQRT((AV10:AX10))),1)</f>
        <v>-8.6303551288196612E-4</v>
      </c>
      <c r="AS11" s="49">
        <f>INDEX(LINEST(1/(AV11:AX11),1/(SQRT(AV10:AX10)),TRUE,TRUE),3,1)</f>
        <v>0.98036145109709727</v>
      </c>
      <c r="AT11" s="49">
        <f>INDEX(LINEST(1/(AV11:AX11),1/SQRT(AV10:AX10)),1)</f>
        <v>-15.934231904251849</v>
      </c>
      <c r="AU11" s="3"/>
      <c r="AV11" s="75">
        <v>3.280277030668433</v>
      </c>
      <c r="AW11" s="75">
        <v>1.958456279865308</v>
      </c>
      <c r="AX11" s="75">
        <v>1.7635303535608291</v>
      </c>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1"/>
      <c r="CS11" s="1"/>
      <c r="CT11" s="1"/>
      <c r="CU11" s="1"/>
    </row>
    <row r="12" spans="1:99" s="9" customFormat="1" ht="12" customHeight="1" x14ac:dyDescent="0.2">
      <c r="A12" s="37">
        <v>43899</v>
      </c>
      <c r="B12" s="1"/>
      <c r="C12" s="1"/>
      <c r="D12" s="32"/>
      <c r="E12" s="41"/>
      <c r="F12" s="32"/>
      <c r="G12" s="32"/>
      <c r="H12" s="32"/>
      <c r="I12" s="39"/>
      <c r="J12" s="32"/>
      <c r="K12" s="36"/>
      <c r="L12" s="36"/>
      <c r="M12" s="32"/>
      <c r="N12" s="33"/>
      <c r="O12" s="32"/>
      <c r="P12" s="32"/>
      <c r="Q12" s="32"/>
      <c r="R12" s="32"/>
      <c r="S12" s="32"/>
      <c r="T12" s="32"/>
      <c r="U12" s="32"/>
      <c r="V12" s="32"/>
      <c r="W12" s="32"/>
      <c r="X12" s="32"/>
      <c r="Y12" s="41"/>
      <c r="Z12" s="32"/>
      <c r="AA12" s="32"/>
      <c r="AB12" s="32"/>
      <c r="AC12" s="28"/>
      <c r="AD12" s="32"/>
      <c r="AE12" s="32"/>
      <c r="AF12" s="45"/>
      <c r="AG12" s="28"/>
      <c r="AH12" s="4"/>
      <c r="AI12" s="28"/>
      <c r="AJ12" s="51"/>
      <c r="AK12" s="28"/>
      <c r="AL12" s="28"/>
      <c r="AM12" s="28"/>
      <c r="AN12" s="28"/>
      <c r="AO12" s="47"/>
      <c r="AP12" s="47"/>
      <c r="AQ12" s="48"/>
      <c r="AR12" s="56"/>
      <c r="AS12" s="49"/>
      <c r="AT12" s="49"/>
      <c r="AU12" s="3"/>
      <c r="AV12" s="18">
        <v>3600</v>
      </c>
      <c r="AW12" s="18">
        <v>172800</v>
      </c>
      <c r="AX12" s="18">
        <v>604800</v>
      </c>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1"/>
      <c r="CS12" s="1"/>
      <c r="CT12" s="1"/>
      <c r="CU12" s="1"/>
    </row>
    <row r="13" spans="1:99" s="9" customFormat="1" ht="12" customHeight="1" x14ac:dyDescent="0.2">
      <c r="A13" s="37">
        <v>43899</v>
      </c>
      <c r="B13" s="1" t="s">
        <v>93</v>
      </c>
      <c r="C13" s="1" t="s">
        <v>42</v>
      </c>
      <c r="D13" s="32">
        <v>1994</v>
      </c>
      <c r="E13" s="40">
        <v>1</v>
      </c>
      <c r="F13" s="32">
        <v>36</v>
      </c>
      <c r="G13" s="32">
        <v>12</v>
      </c>
      <c r="H13" s="32" t="s">
        <v>22</v>
      </c>
      <c r="I13" s="39" t="s">
        <v>96</v>
      </c>
      <c r="J13" s="32" t="s">
        <v>31</v>
      </c>
      <c r="K13" s="32">
        <f>IF(J13="syllables",1,IF(J13="trigrams",2,IF(J13="strings",3,IF(J13="visual array",4,IF(J13="characters",5,IF(J13="letters",6,IF(J13="free forms",7,IF(J13="odors",8,IF(J13="words",9,IF(J13="pictures",10,IF(J13="object pictures",11,IF(J13="faces",12,IF(J13="names",13,IF(J13="idioms",14,IF(J13="grades",15,IF(J13="syllable-digit pairs",16,IF(J13="trigram-word pairs",17,IF(J13="word-digit pairs",18,IF(J13="English-Swahili pairs",19,IF(J13="spatial position",20,IF(J13="word pairs",21,IF(J13="word triads",22,IF(J13="generated words",23,IF(J13="word definition pairs",24,IF(J13="math problems",25,IF(J13="famous faces",26,IF(J13="famous names",27,IF(J13="famous voices",28,IF(J13="television programs",29,IF(J13="race horses",30,IF(J13="new vocabulary",31,IF(J13="sentences",32,IF(J13="concepts",33,IF(J13="ad slides",34,IF(J13="scenes",35,IF(J13="famous scenes",36,IF(J13="poems",37,IF(J13="walk",38,IF(J13="faces and events",39,IF(J13="events and names",40,IF(J13="flashbulb",41,IF(J13="stories",42,IF(J13="course material",43,IF(J13="autobiographical",44,IF(J13="novels",45,IF(J13="public events",46,"99"))))))))))))))))))))))))))))))))))))))))))))))</f>
        <v>42</v>
      </c>
      <c r="L13" s="32">
        <f>IF(J13="syllables",1,IF(J13="trigrams",1,IF(J13="strings",1,IF(J13="visual array",1,IF(J13="characters",1,IF(J13="letters",1,IF(J13="free forms",1,IF(J13="odors",2,IF(J13="words",2,IF(J13="pictures",2,IF(J13="object pictures",2,IF(J13="faces",2,IF(J13="names",2,IF(J13="idioms","2",IF(J13="grades",2,IF(J13="syllable-digit pairs",3,IF(J13="trigram-word pairs",3,IF(J13="word-digit pairs",3,IF(J13="English-Swahili pairs",3,IF(J13="spatial position",3,IF(J13="word pairs",4,IF(J13="word triads",4,IF(J13="generated words",4,IF(J13="word definition pairs",4,IF(J13="math problems",4,IF(J13="famous faces",4,IF(J13="famous names",4,IF(J13="famous voices",4,IF(J13="television programs",4,IF(J13="race horses",4,IF(J13="new vocabulary",4,IF(J13="sentences",5,IF(J13="concepts",5,IF(J13="ad slides",5,IF(J13="scenes",5,IF(J13="famous scenes",5,IF(J13="poems",6,IF(J13="walk",6,IF(J13="faces and events",6,IF(J13="events and names",6,IF(J13="flashbulb",7,IF(J13="stories",7,IF(J13="course material",7,IF(J13="autobiographical",7,IF(J13="novels",7,IF(J13="public events",7,"99"))))))))))))))))))))))))))))))))))))))))))))))</f>
        <v>7</v>
      </c>
      <c r="M13" s="32">
        <v>0</v>
      </c>
      <c r="N13" s="33">
        <v>3</v>
      </c>
      <c r="O13" s="32">
        <v>0</v>
      </c>
      <c r="P13" s="32"/>
      <c r="Q13" s="32" t="s">
        <v>18</v>
      </c>
      <c r="R13" s="32">
        <f>IF(Q13="Free Recall",1,IF(Q13="Cued Recall",2,IF(Q13="Recognition",3,IF(Q13="Multiple Choice",4,IF(Q13="Savings",5,IF(Q13="Stem Completion",6,IF(Q13="Fragment Completion",7,IF(Q13="anagram solution",8,IF(Q13="Matching",9,IF(Q13="Problem Solving",10,"99"))))))))))</f>
        <v>3</v>
      </c>
      <c r="S13" s="96" t="s">
        <v>196</v>
      </c>
      <c r="T13" s="31" t="s">
        <v>72</v>
      </c>
      <c r="U13" s="32">
        <f>IF(T13="within",1,0)</f>
        <v>0</v>
      </c>
      <c r="V13" s="31">
        <v>18</v>
      </c>
      <c r="W13" s="32">
        <f>F13*V13</f>
        <v>648</v>
      </c>
      <c r="X13" s="32">
        <v>3</v>
      </c>
      <c r="Y13" s="41">
        <f>AV12</f>
        <v>3600</v>
      </c>
      <c r="Z13" s="32" t="s">
        <v>41</v>
      </c>
      <c r="AA13" s="32">
        <v>604800</v>
      </c>
      <c r="AB13" s="32" t="str">
        <f>IF(AA13&lt;60,"1",IF(AA13&lt;=43200,"2",IF(AA13&lt;=777600,"3","4")))</f>
        <v>3</v>
      </c>
      <c r="AC13" s="28">
        <f>AVERAGE(AV12:DA12)</f>
        <v>260400</v>
      </c>
      <c r="AD13" s="32" t="str">
        <f>IF(AC13&lt;60,"1",IF(AC13&lt;=43200,"2",IF(AC13&lt;=777600,"3","4")))</f>
        <v>3</v>
      </c>
      <c r="AE13" s="41">
        <f>AA13-Y13</f>
        <v>601200</v>
      </c>
      <c r="AF13" s="45">
        <f>AV13</f>
        <v>3.6671029077310568</v>
      </c>
      <c r="AG13" s="28">
        <f>((AW13-AV13)+(AX13-AW13))/2</f>
        <v>-0.93311101424808673</v>
      </c>
      <c r="AH13" s="4"/>
      <c r="AI13" s="28">
        <f>RSQ(AV13:AX13,AV12:AX12)</f>
        <v>0.54831352167540437</v>
      </c>
      <c r="AJ13" s="51">
        <f>SLOPE(AV13:AX13,AV12:AX12)</f>
        <v>-2.5256382616889527E-6</v>
      </c>
      <c r="AK13" s="28">
        <f>INTERCEPT(AV13:AX13,AV12:AX12)</f>
        <v>3.1044555250861094</v>
      </c>
      <c r="AL13" s="28">
        <f>INDEX(LINEST(LN(AV13:AX13),LN(AV12:AX12),TRUE,TRUE),3,1)</f>
        <v>0.9650673391574095</v>
      </c>
      <c r="AM13" s="28">
        <f>INDEX(LINEST(LN(AV13:AX13),LN(AV12:AX12)),1)</f>
        <v>-0.14703792681329769</v>
      </c>
      <c r="AN13" s="28">
        <f>EXP(INDEX(LINEST(LN(AV13:AX13),LN(AV12:AX12)),1,2))</f>
        <v>11.979731181297048</v>
      </c>
      <c r="AO13" s="47">
        <f>INDEX(LINEST((AV13:AX13),LN(AV12:AX12),TRUE,TRUE),3,1)</f>
        <v>0.95939347984535561</v>
      </c>
      <c r="AP13" s="47">
        <f>INDEX(LINEST((AV13:AX13),LN(AV12:AX12)),1)</f>
        <v>-0.38775021165247497</v>
      </c>
      <c r="AQ13" s="48">
        <f>INDEX(LINEST(LN(AV13:AX13),SQRT(AV12:AX12),TRUE,TRUE),3,1)</f>
        <v>0.78677887883336806</v>
      </c>
      <c r="AR13" s="56">
        <f>INDEX(LINEST(LN(AV13:AX13),SQRT((AV12:AX12))),1)</f>
        <v>-9.8824637082585583E-4</v>
      </c>
      <c r="AS13" s="49">
        <f>INDEX(LINEST(1/(AV13:AX13),1/(SQRT(AV12:AX12)),TRUE,TRUE),3,1)</f>
        <v>0.99999579171143316</v>
      </c>
      <c r="AT13" s="49">
        <f>INDEX(LINEST(1/(AV13:AX13),1/SQRT(AV12:AX12)),1)</f>
        <v>-18.354260639475484</v>
      </c>
      <c r="AU13" s="3"/>
      <c r="AV13" s="76">
        <v>3.6671029077310568</v>
      </c>
      <c r="AW13" s="76">
        <v>1.8723541782609783</v>
      </c>
      <c r="AX13" s="76">
        <v>1.8008808792348834</v>
      </c>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1"/>
      <c r="CS13" s="1"/>
      <c r="CT13" s="1"/>
      <c r="CU13" s="1"/>
    </row>
    <row r="14" spans="1:99" s="9" customFormat="1" ht="12" customHeight="1" x14ac:dyDescent="0.2">
      <c r="A14" s="37">
        <v>43509</v>
      </c>
      <c r="B14" s="1"/>
      <c r="C14" s="1"/>
      <c r="D14" s="32"/>
      <c r="E14" s="41"/>
      <c r="F14" s="32"/>
      <c r="G14" s="32"/>
      <c r="H14" s="32"/>
      <c r="I14" s="32"/>
      <c r="J14" s="32"/>
      <c r="K14" s="36"/>
      <c r="L14" s="36"/>
      <c r="M14" s="32"/>
      <c r="N14" s="32"/>
      <c r="O14" s="32"/>
      <c r="P14" s="32"/>
      <c r="Q14" s="32"/>
      <c r="R14" s="32"/>
      <c r="S14" s="32"/>
      <c r="T14" s="32"/>
      <c r="U14" s="32"/>
      <c r="V14" s="32"/>
      <c r="W14" s="32"/>
      <c r="X14" s="32"/>
      <c r="Y14" s="41"/>
      <c r="Z14" s="32"/>
      <c r="AA14" s="32"/>
      <c r="AB14" s="32"/>
      <c r="AC14" s="32"/>
      <c r="AD14" s="32"/>
      <c r="AE14" s="32"/>
      <c r="AF14" s="45"/>
      <c r="AG14" s="28"/>
      <c r="AH14" s="4"/>
      <c r="AI14" s="28"/>
      <c r="AJ14" s="51"/>
      <c r="AK14" s="28"/>
      <c r="AL14" s="28"/>
      <c r="AM14" s="28"/>
      <c r="AN14" s="28"/>
      <c r="AO14" s="28"/>
      <c r="AP14" s="28"/>
      <c r="AQ14" s="28"/>
      <c r="AR14" s="51"/>
      <c r="AS14" s="28"/>
      <c r="AT14" s="28"/>
      <c r="AU14" s="5"/>
      <c r="AV14" s="18">
        <v>62</v>
      </c>
      <c r="AW14" s="18">
        <f>3600*1</f>
        <v>3600</v>
      </c>
      <c r="AX14" s="18">
        <f>3600*24</f>
        <v>86400</v>
      </c>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1"/>
      <c r="CS14" s="1"/>
      <c r="CT14" s="1"/>
      <c r="CU14" s="1"/>
    </row>
    <row r="15" spans="1:99" s="9" customFormat="1" ht="12" customHeight="1" x14ac:dyDescent="0.2">
      <c r="A15" s="37">
        <v>43509</v>
      </c>
      <c r="B15" s="1" t="s">
        <v>38</v>
      </c>
      <c r="C15" s="1" t="s">
        <v>26</v>
      </c>
      <c r="D15" s="32">
        <v>1988</v>
      </c>
      <c r="E15" s="41">
        <v>3</v>
      </c>
      <c r="F15" s="32">
        <v>48</v>
      </c>
      <c r="G15" s="32">
        <v>16</v>
      </c>
      <c r="H15" s="32" t="s">
        <v>15</v>
      </c>
      <c r="I15" s="32" t="s">
        <v>136</v>
      </c>
      <c r="J15" s="32" t="s">
        <v>12</v>
      </c>
      <c r="K15" s="32">
        <f>IF(J15="syllables",1,IF(J15="trigrams",2,IF(J15="strings",3,IF(J15="visual array",4,IF(J15="characters",5,IF(J15="letters",6,IF(J15="free forms",7,IF(J15="odors",8,IF(J15="words",9,IF(J15="pictures",10,IF(J15="object pictures",11,IF(J15="faces",12,IF(J15="names",13,IF(J15="idioms",14,IF(J15="grades",15,IF(J15="syllable-digit pairs",16,IF(J15="trigram-word pairs",17,IF(J15="word-digit pairs",18,IF(J15="English-Swahili pairs",19,IF(J15="spatial position",20,IF(J15="word pairs",21,IF(J15="word triads",22,IF(J15="generated words",23,IF(J15="word definition pairs",24,IF(J15="math problems",25,IF(J15="famous faces",26,IF(J15="famous names",27,IF(J15="famous voices",28,IF(J15="television programs",29,IF(J15="race horses",30,IF(J15="new vocabulary",31,IF(J15="sentences",32,IF(J15="concepts",33,IF(J15="ad slides",34,IF(J15="scenes",35,IF(J15="famous scenes",36,IF(J15="poems",37,IF(J15="walk",38,IF(J15="faces and events",39,IF(J15="events and names",40,IF(J15="flashbulb",41,IF(J15="stories",42,IF(J15="course material",43,IF(J15="autobiographical",44,IF(J15="novels",45,IF(J15="public events",46,"99"))))))))))))))))))))))))))))))))))))))))))))))</f>
        <v>9</v>
      </c>
      <c r="L15" s="32">
        <f>IF(J15="syllables",1,IF(J15="trigrams",1,IF(J15="strings",1,IF(J15="visual array",1,IF(J15="characters",1,IF(J15="letters",1,IF(J15="free forms",1,IF(J15="odors",2,IF(J15="words",2,IF(J15="pictures",2,IF(J15="object pictures",2,IF(J15="faces",2,IF(J15="names",2,IF(J15="idioms","2",IF(J15="grades",2,IF(J15="syllable-digit pairs",3,IF(J15="trigram-word pairs",3,IF(J15="word-digit pairs",3,IF(J15="English-Swahili pairs",3,IF(J15="spatial position",3,IF(J15="word pairs",4,IF(J15="word triads",4,IF(J15="generated words",4,IF(J15="word definition pairs",4,IF(J15="math problems",4,IF(J15="famous faces",4,IF(J15="famous names",4,IF(J15="famous voices",4,IF(J15="television programs",4,IF(J15="race horses",4,IF(J15="new vocabulary",4,IF(J15="sentences",5,IF(J15="concepts",5,IF(J15="ad slides",5,IF(J15="scenes",5,IF(J15="famous scenes",5,IF(J15="poems",6,IF(J15="walk",6,IF(J15="faces and events",6,IF(J15="events and names",6,IF(J15="flashbulb",7,IF(J15="stories",7,IF(J15="course material",7,IF(J15="autobiographical",7,IF(J15="novels",7,IF(J15="public events",7,"99"))))))))))))))))))))))))))))))))))))))))))))))</f>
        <v>2</v>
      </c>
      <c r="M15" s="32">
        <v>0</v>
      </c>
      <c r="N15" s="32">
        <v>1</v>
      </c>
      <c r="O15" s="32">
        <v>0</v>
      </c>
      <c r="P15" s="32"/>
      <c r="Q15" s="32" t="s">
        <v>18</v>
      </c>
      <c r="R15" s="32">
        <f>IF(Q15="Free Recall",1,IF(Q15="Cued Recall",2,IF(Q15="Recognition",3,IF(Q15="Multiple Choice",4,IF(Q15="Savings",5,IF(Q15="Stem Completion",6,IF(Q15="Fragment Completion",7,IF(Q15="anagram solution",8,IF(Q15="Matching",9,IF(Q15="Problem Solving",10,"99"))))))))))</f>
        <v>3</v>
      </c>
      <c r="S15" s="31" t="s">
        <v>196</v>
      </c>
      <c r="T15" s="31" t="s">
        <v>72</v>
      </c>
      <c r="U15" s="32">
        <f>IF(T15="within",1,0)</f>
        <v>0</v>
      </c>
      <c r="V15" s="31">
        <v>27</v>
      </c>
      <c r="W15" s="32">
        <f>F15*V15</f>
        <v>1296</v>
      </c>
      <c r="X15" s="32">
        <v>3</v>
      </c>
      <c r="Y15" s="41">
        <f>AV14</f>
        <v>62</v>
      </c>
      <c r="Z15" s="32" t="s">
        <v>37</v>
      </c>
      <c r="AA15" s="32">
        <v>86400</v>
      </c>
      <c r="AB15" s="32" t="str">
        <f>IF(AA15&lt;60,"1",IF(AA15&lt;=43200,"2",IF(AA15&lt;=777600,"3","4")))</f>
        <v>3</v>
      </c>
      <c r="AC15" s="28">
        <f>AVERAGE(AV14:DA14)</f>
        <v>30020.666666666668</v>
      </c>
      <c r="AD15" s="32" t="str">
        <f>IF(AC15&lt;60,"1",IF(AC15&lt;=43200,"2",IF(AC15&lt;=777600,"3","4")))</f>
        <v>2</v>
      </c>
      <c r="AE15" s="41">
        <f>AA15-Y15</f>
        <v>86338</v>
      </c>
      <c r="AF15" s="45">
        <f>AV15</f>
        <v>2.69</v>
      </c>
      <c r="AG15" s="28">
        <f>((AW15-AV15)+(AX15-AW15))/2</f>
        <v>-0.745</v>
      </c>
      <c r="AH15" s="4"/>
      <c r="AI15" s="28">
        <f>RSQ(AV15:AX15,AV14:AX14)</f>
        <v>0.45221348664819838</v>
      </c>
      <c r="AJ15" s="51">
        <f>SLOPE(AV15:AX15,AV14:AX14)</f>
        <v>-1.0899453744780949E-5</v>
      </c>
      <c r="AK15" s="28">
        <f>INTERCEPT(AV15:AX15,AV14:AX14)</f>
        <v>2.1172088677208207</v>
      </c>
      <c r="AL15" s="28">
        <f>INDEX(LINEST(LN(AV15:AX15),LN(AV14:AX14),TRUE,TRUE),3,1)</f>
        <v>0.96044879000732675</v>
      </c>
      <c r="AM15" s="28">
        <f>INDEX(LINEST(LN(AV15:AX15),LN(AV14:AX14)),1)</f>
        <v>-0.11311780708734026</v>
      </c>
      <c r="AN15" s="28">
        <f>EXP(INDEX(LINEST(LN(AV15:AX15),LN(AV14:AX14)),1,2))</f>
        <v>4.11350285194934</v>
      </c>
      <c r="AO15" s="47">
        <f>INDEX(LINEST((AV15:AX15),LN(AV14:AX14),TRUE,TRUE),3,1)</f>
        <v>0.92598397975793523</v>
      </c>
      <c r="AP15" s="47">
        <f>INDEX(LINEST((AV15:AX15),LN(AV14:AX14)),1)</f>
        <v>-0.20999536965176585</v>
      </c>
      <c r="AQ15" s="48">
        <f>INDEX(LINEST(LN(AV15:AX15),SQRT(AV14:AX14),TRUE,TRUE),3,1)</f>
        <v>0.66027741375325677</v>
      </c>
      <c r="AR15" s="56">
        <f>INDEX(LINEST(LN(AV15:AX15),SQRT((AV14:AX14))),1)</f>
        <v>-2.2338429186627966E-3</v>
      </c>
      <c r="AS15" s="49">
        <f>INDEX(LINEST(1/(AV15:AX15),1/(SQRT(AV14:AX14)),TRUE,TRUE),3,1)</f>
        <v>0.94128558438530763</v>
      </c>
      <c r="AT15" s="49">
        <f>INDEX(LINEST(1/(AV15:AX15),1/SQRT(AV14:AX14)),1)</f>
        <v>-3.3546739166795008</v>
      </c>
      <c r="AU15" s="3"/>
      <c r="AV15" s="25">
        <v>2.69</v>
      </c>
      <c r="AW15" s="25">
        <v>1.48</v>
      </c>
      <c r="AX15" s="25">
        <v>1.2</v>
      </c>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1"/>
      <c r="CS15" s="1"/>
      <c r="CT15" s="1"/>
      <c r="CU15" s="1"/>
    </row>
    <row r="16" spans="1:99" s="9" customFormat="1" ht="12" customHeight="1" x14ac:dyDescent="0.2">
      <c r="A16" s="37">
        <v>43976</v>
      </c>
      <c r="B16" s="1"/>
      <c r="C16" s="1"/>
      <c r="D16" s="32"/>
      <c r="E16" s="41"/>
      <c r="F16" s="32"/>
      <c r="G16" s="32"/>
      <c r="H16" s="32"/>
      <c r="I16" s="32"/>
      <c r="J16" s="32"/>
      <c r="K16" s="32"/>
      <c r="L16" s="32"/>
      <c r="M16" s="32"/>
      <c r="N16" s="32"/>
      <c r="O16" s="32"/>
      <c r="P16" s="32"/>
      <c r="Q16" s="77"/>
      <c r="R16" s="32"/>
      <c r="S16" s="32"/>
      <c r="T16" s="31"/>
      <c r="U16" s="32"/>
      <c r="V16" s="31"/>
      <c r="W16" s="32"/>
      <c r="X16" s="32"/>
      <c r="Y16" s="41"/>
      <c r="Z16" s="32"/>
      <c r="AA16" s="32"/>
      <c r="AB16" s="32"/>
      <c r="AC16" s="28"/>
      <c r="AD16" s="32"/>
      <c r="AE16" s="41"/>
      <c r="AF16" s="45"/>
      <c r="AG16" s="28"/>
      <c r="AH16" s="4"/>
      <c r="AI16" s="28"/>
      <c r="AJ16" s="51"/>
      <c r="AK16" s="28"/>
      <c r="AL16" s="28"/>
      <c r="AM16" s="28"/>
      <c r="AN16" s="28"/>
      <c r="AO16" s="47"/>
      <c r="AP16" s="47"/>
      <c r="AQ16" s="48"/>
      <c r="AR16" s="56"/>
      <c r="AS16" s="49"/>
      <c r="AT16" s="49"/>
      <c r="AU16" s="3"/>
      <c r="AV16" s="18">
        <f>60*10</f>
        <v>600</v>
      </c>
      <c r="AW16" s="18">
        <f>60*60*2</f>
        <v>7200</v>
      </c>
      <c r="AX16" s="18">
        <f>60*60*32</f>
        <v>115200</v>
      </c>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1"/>
      <c r="CS16" s="1"/>
      <c r="CT16" s="1"/>
      <c r="CU16" s="1"/>
    </row>
    <row r="17" spans="1:99" s="9" customFormat="1" ht="12" customHeight="1" x14ac:dyDescent="0.2">
      <c r="A17" s="37">
        <v>43976</v>
      </c>
      <c r="B17" s="1" t="s">
        <v>170</v>
      </c>
      <c r="C17" s="1" t="s">
        <v>92</v>
      </c>
      <c r="D17" s="32">
        <v>1988</v>
      </c>
      <c r="E17" s="41">
        <v>1</v>
      </c>
      <c r="F17" s="32">
        <v>18</v>
      </c>
      <c r="G17" s="32">
        <v>18</v>
      </c>
      <c r="H17" s="32" t="s">
        <v>14</v>
      </c>
      <c r="I17" s="32" t="s">
        <v>89</v>
      </c>
      <c r="J17" s="32" t="s">
        <v>82</v>
      </c>
      <c r="K17" s="32">
        <f>IF(J17="syllables",1,IF(J17="trigrams",2,IF(J17="strings",3,IF(J17="visual array",4,IF(J17="characters",5,IF(J17="letters",6,IF(J17="free forms",7,IF(J17="odors",8,IF(J17="words",9,IF(J17="pictures",10,IF(J17="object pictures",11,IF(J17="faces",12,IF(J17="names",13,IF(J17="idioms",14,IF(J17="grades",15,IF(J17="syllable-digit pairs",16,IF(J17="trigram-word pairs",17,IF(J17="word-digit pairs",18,IF(J17="English-Swahili pairs",19,IF(J17="spatial position",20,IF(J17="word pairs",21,IF(J17="word triads",22,IF(J17="generated words",23,IF(J17="word definition pairs",24,IF(J17="math problems",25,IF(J17="famous faces",26,IF(J17="famous names",27,IF(J17="famous voices",28,IF(J17="television programs",29,IF(J17="race horses",30,IF(J17="new vocabulary",31,IF(J17="sentences",32,IF(J17="concepts",33,IF(J17="ad slides",34,IF(J17="scenes",35,IF(J17="famous scenes",36,IF(J17="poems",37,IF(J17="walk",38,IF(J17="faces and events",39,IF(J17="events and names",40,IF(J17="flashbulb",41,IF(J17="stories",42,IF(J17="course material",43,IF(J17="autobiographical",44,IF(J17="novels",45,IF(J17="public events",46,"99"))))))))))))))))))))))))))))))))))))))))))))))</f>
        <v>10</v>
      </c>
      <c r="L17" s="32">
        <f>IF(J17="syllables",1,IF(J17="trigrams",1,IF(J17="strings",1,IF(J17="visual array",1,IF(J17="characters",1,IF(J17="letters",1,IF(J17="free forms",1,IF(J17="odors",2,IF(J17="words",2,IF(J17="pictures",2,IF(J17="object pictures",2,IF(J17="faces",2,IF(J17="names",2,IF(J17="idioms","2",IF(J17="grades",2,IF(J17="syllable-digit pairs",3,IF(J17="trigram-word pairs",3,IF(J17="word-digit pairs",3,IF(J17="English-Swahili pairs",3,IF(J17="spatial position",3,IF(J17="word pairs",4,IF(J17="word triads",4,IF(J17="generated words",4,IF(J17="word definition pairs",4,IF(J17="math problems",4,IF(J17="famous faces",4,IF(J17="famous names",4,IF(J17="famous voices",4,IF(J17="television programs",4,IF(J17="race horses",4,IF(J17="new vocabulary",4,IF(J17="sentences",5,IF(J17="concepts",5,IF(J17="ad slides",5,IF(J17="scenes",5,IF(J17="famous scenes",5,IF(J17="poems",6,IF(J17="walk",6,IF(J17="faces and events",6,IF(J17="events and names",6,IF(J17="flashbulb",7,IF(J17="stories",7,IF(J17="course material",7,IF(J17="autobiographical",7,IF(J17="novels",7,IF(J17="public events",7,"99"))))))))))))))))))))))))))))))))))))))))))))))</f>
        <v>2</v>
      </c>
      <c r="M17" s="32">
        <v>0</v>
      </c>
      <c r="N17" s="32">
        <v>1</v>
      </c>
      <c r="O17" s="32">
        <v>0</v>
      </c>
      <c r="P17" s="32"/>
      <c r="Q17" s="77" t="s">
        <v>18</v>
      </c>
      <c r="R17" s="32">
        <f>IF(Q17="Free Recall",1,IF(Q17="Cued Recall",2,IF(Q17="Recognition",3,IF(Q17="Multiple Choice",4,IF(Q17="Savings",5,IF(Q17="Stem Completion",6,IF(Q17="Fragment Completion",7,IF(Q17="anagram solution",8,IF(Q17="Matching",9,IF(Q17="Problem Solving",10,"99"))))))))))</f>
        <v>3</v>
      </c>
      <c r="S17" s="31" t="s">
        <v>196</v>
      </c>
      <c r="T17" s="31" t="s">
        <v>132</v>
      </c>
      <c r="U17" s="32">
        <f>IF(T17="within",1,0)</f>
        <v>1</v>
      </c>
      <c r="V17" s="31">
        <v>22</v>
      </c>
      <c r="W17" s="32">
        <f>F17*V17</f>
        <v>396</v>
      </c>
      <c r="X17" s="32">
        <v>3</v>
      </c>
      <c r="Y17" s="41">
        <f>AV16</f>
        <v>600</v>
      </c>
      <c r="Z17" s="32" t="s">
        <v>171</v>
      </c>
      <c r="AA17" s="32">
        <f>60*60*32</f>
        <v>115200</v>
      </c>
      <c r="AB17" s="32" t="str">
        <f>IF(AA17&lt;60,"1",IF(AA17&lt;=43200,"2",IF(AA17&lt;=777600,"3","4")))</f>
        <v>3</v>
      </c>
      <c r="AC17" s="28">
        <f>AVERAGE(AV16:DA16)</f>
        <v>41000</v>
      </c>
      <c r="AD17" s="32" t="str">
        <f>IF(AC17&lt;60,"1",IF(AC17&lt;=43200,"2",IF(AC17&lt;=777600,"3","4")))</f>
        <v>2</v>
      </c>
      <c r="AE17" s="41">
        <f>AA17-Y17</f>
        <v>114600</v>
      </c>
      <c r="AF17" s="45">
        <f>AV17</f>
        <v>3.08</v>
      </c>
      <c r="AG17" s="28">
        <f>((AW17-AV17)+(AX17-AW17))/2</f>
        <v>-0.54</v>
      </c>
      <c r="AH17" s="4"/>
      <c r="AI17" s="28">
        <f>RSQ(AV17:AX17,AV16:AX16)</f>
        <v>0.97401470517618582</v>
      </c>
      <c r="AJ17" s="51">
        <f>SLOPE(AV17:AX17,AV16:AX16)</f>
        <v>-8.6982986000405782E-6</v>
      </c>
      <c r="AK17" s="28">
        <f>INTERCEPT(AV17:AX17,AV16:AX16)</f>
        <v>2.9966302426016638</v>
      </c>
      <c r="AL17" s="28">
        <f>INDEX(LINEST(LN(AV17:AX17),LN(AV16:AX16),TRUE,TRUE),3,1)</f>
        <v>0.90440952423060827</v>
      </c>
      <c r="AM17" s="28">
        <f>INDEX(LINEST(LN(AV17:AX17),LN(AV16:AX16)),1)</f>
        <v>-8.2979269088313309E-2</v>
      </c>
      <c r="AN17" s="28">
        <f>EXP(INDEX(LINEST(LN(AV17:AX17),LN(AV16:AX16)),1,2))</f>
        <v>5.4680703107102895</v>
      </c>
      <c r="AO17" s="47">
        <f>INDEX(LINEST((AV17:AX17),LN(AV16:AX16),TRUE,TRUE),3,1)</f>
        <v>0.92426267387606109</v>
      </c>
      <c r="AP17" s="47">
        <f>INDEX(LINEST((AV17:AX17),LN(AV16:AX16)),1)</f>
        <v>-0.20729566064850624</v>
      </c>
      <c r="AQ17" s="48">
        <f>INDEX(LINEST(LN(AV17:AX17),SQRT(AV16:AX16),TRUE,TRUE),3,1)</f>
        <v>0.99998505093992951</v>
      </c>
      <c r="AR17" s="56">
        <f>INDEX(LINEST(LN(AV17:AX17),SQRT((AV16:AX16))),1)</f>
        <v>-1.3729919483825039E-3</v>
      </c>
      <c r="AS17" s="49">
        <f>INDEX(LINEST(1/(AV17:AX17),1/(SQRT(AV16:AX16)),TRUE,TRUE),3,1)</f>
        <v>0.60823006664096035</v>
      </c>
      <c r="AT17" s="49">
        <f>INDEX(LINEST(1/(AV17:AX17),1/SQRT(AV16:AX16)),1)</f>
        <v>-3.7114483111782457</v>
      </c>
      <c r="AU17" s="3"/>
      <c r="AV17" s="25">
        <v>3.08</v>
      </c>
      <c r="AW17" s="25">
        <v>2.84</v>
      </c>
      <c r="AX17" s="25">
        <v>2</v>
      </c>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1"/>
      <c r="CS17" s="1"/>
      <c r="CT17" s="1"/>
      <c r="CU17" s="1"/>
    </row>
    <row r="18" spans="1:99" s="9" customFormat="1" ht="12" customHeight="1" x14ac:dyDescent="0.2">
      <c r="A18" s="37">
        <v>43509</v>
      </c>
      <c r="B18" s="1"/>
      <c r="C18" s="1"/>
      <c r="D18" s="32"/>
      <c r="E18" s="41"/>
      <c r="F18" s="32"/>
      <c r="G18" s="32"/>
      <c r="H18" s="32"/>
      <c r="I18" s="32"/>
      <c r="J18" s="32"/>
      <c r="K18" s="36"/>
      <c r="L18" s="36"/>
      <c r="M18" s="32"/>
      <c r="N18" s="32"/>
      <c r="O18" s="32"/>
      <c r="P18" s="32"/>
      <c r="Q18" s="32"/>
      <c r="R18" s="32"/>
      <c r="S18" s="32"/>
      <c r="T18" s="32"/>
      <c r="U18" s="32"/>
      <c r="V18" s="32"/>
      <c r="W18" s="32"/>
      <c r="X18" s="32"/>
      <c r="Y18" s="41"/>
      <c r="Z18" s="32"/>
      <c r="AA18" s="32"/>
      <c r="AB18" s="32"/>
      <c r="AC18" s="32"/>
      <c r="AD18" s="32"/>
      <c r="AE18" s="32"/>
      <c r="AF18" s="45"/>
      <c r="AG18" s="28"/>
      <c r="AH18" s="4"/>
      <c r="AI18" s="28"/>
      <c r="AJ18" s="51"/>
      <c r="AK18" s="28"/>
      <c r="AL18" s="28"/>
      <c r="AM18" s="28"/>
      <c r="AN18" s="28"/>
      <c r="AO18" s="28"/>
      <c r="AP18" s="28"/>
      <c r="AQ18" s="28"/>
      <c r="AR18" s="51"/>
      <c r="AS18" s="28"/>
      <c r="AT18" s="28"/>
      <c r="AU18" s="4"/>
      <c r="AV18" s="18">
        <f>60*60</f>
        <v>3600</v>
      </c>
      <c r="AW18" s="18">
        <f>24*3600</f>
        <v>86400</v>
      </c>
      <c r="AX18" s="18">
        <f>24*3600*2</f>
        <v>172800</v>
      </c>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1"/>
      <c r="CS18" s="1"/>
      <c r="CT18" s="1"/>
      <c r="CU18" s="1"/>
    </row>
    <row r="19" spans="1:99" s="9" customFormat="1" ht="12" customHeight="1" x14ac:dyDescent="0.2">
      <c r="A19" s="37">
        <v>43509</v>
      </c>
      <c r="B19" s="1" t="s">
        <v>43</v>
      </c>
      <c r="C19" s="1" t="s">
        <v>27</v>
      </c>
      <c r="D19" s="32">
        <v>2007</v>
      </c>
      <c r="E19" s="41">
        <v>1</v>
      </c>
      <c r="F19" s="32">
        <v>72</v>
      </c>
      <c r="G19" s="32">
        <v>24</v>
      </c>
      <c r="H19" s="32" t="s">
        <v>14</v>
      </c>
      <c r="I19" s="32" t="s">
        <v>137</v>
      </c>
      <c r="J19" s="32" t="s">
        <v>109</v>
      </c>
      <c r="K19" s="32">
        <f>IF(J19="syllables",1,IF(J19="trigrams",2,IF(J19="strings",3,IF(J19="visual array",4,IF(J19="characters",5,IF(J19="letters",6,IF(J19="free forms",7,IF(J19="odors",8,IF(J19="words",9,IF(J19="pictures",10,IF(J19="object pictures",11,IF(J19="faces",12,IF(J19="names",13,IF(J19="idioms",14,IF(J19="grades",15,IF(J19="syllable-digit pairs",16,IF(J19="trigram-word pairs",17,IF(J19="word-digit pairs",18,IF(J19="English-Swahili pairs",19,IF(J19="spatial position",20,IF(J19="word pairs",21,IF(J19="word triads",22,IF(J19="generated words",23,IF(J19="word definition pairs",24,IF(J19="math problems",25,IF(J19="famous faces",26,IF(J19="famous names",27,IF(J19="famous voices",28,IF(J19="television programs",29,IF(J19="race horses",30,IF(J19="new vocabulary",31,IF(J19="sentences",32,IF(J19="concepts",33,IF(J19="ad slides",34,IF(J19="scenes",35,IF(J19="famous scenes",36,IF(J19="poems",37,IF(J19="walk",38,IF(J19="faces and events",39,IF(J19="events and names",40,IF(J19="flashbulb",41,IF(J19="stories",42,IF(J19="course material",43,IF(J19="autobiographical",44,IF(J19="novels",45,IF(J19="public events",46,"99"))))))))))))))))))))))))))))))))))))))))))))))</f>
        <v>32</v>
      </c>
      <c r="L19" s="32">
        <f>IF(J19="syllables",1,IF(J19="trigrams",1,IF(J19="strings",1,IF(J19="visual array",1,IF(J19="characters",1,IF(J19="letters",1,IF(J19="free forms",1,IF(J19="odors",2,IF(J19="words",2,IF(J19="pictures",2,IF(J19="object pictures",2,IF(J19="faces",2,IF(J19="names",2,IF(J19="idioms","2",IF(J19="grades",2,IF(J19="syllable-digit pairs",3,IF(J19="trigram-word pairs",3,IF(J19="word-digit pairs",3,IF(J19="English-Swahili pairs",3,IF(J19="spatial position",3,IF(J19="word pairs",4,IF(J19="word triads",4,IF(J19="generated words",4,IF(J19="word definition pairs",4,IF(J19="math problems",4,IF(J19="famous faces",4,IF(J19="famous names",4,IF(J19="famous voices",4,IF(J19="television programs",4,IF(J19="race horses",4,IF(J19="new vocabulary",4,IF(J19="sentences",5,IF(J19="concepts",5,IF(J19="ad slides",5,IF(J19="scenes",5,IF(J19="famous scenes",5,IF(J19="poems",6,IF(J19="walk",6,IF(J19="faces and events",6,IF(J19="events and names",6,IF(J19="flashbulb",7,IF(J19="stories",7,IF(J19="course material",7,IF(J19="autobiographical",7,IF(J19="novels",7,IF(J19="public events",7,"99"))))))))))))))))))))))))))))))))))))))))))))))</f>
        <v>5</v>
      </c>
      <c r="M19" s="32">
        <v>0</v>
      </c>
      <c r="N19" s="32">
        <v>3</v>
      </c>
      <c r="O19" s="32">
        <v>0</v>
      </c>
      <c r="P19" s="32"/>
      <c r="Q19" s="32" t="s">
        <v>18</v>
      </c>
      <c r="R19" s="32">
        <f>IF(Q19="Free Recall",1,IF(Q19="Cued Recall",2,IF(Q19="Recognition",3,IF(Q19="Multiple Choice",4,IF(Q19="Savings",5,IF(Q19="Stem Completion",6,IF(Q19="Fragment Completion",7,IF(Q19="anagram solution",8,IF(Q19="Matching",9,IF(Q19="Problem Solving",10,"99"))))))))))</f>
        <v>3</v>
      </c>
      <c r="S19" s="77" t="s">
        <v>196</v>
      </c>
      <c r="T19" s="32" t="s">
        <v>72</v>
      </c>
      <c r="U19" s="32">
        <f>IF(T19="within",1,0)</f>
        <v>0</v>
      </c>
      <c r="V19" s="32">
        <v>40</v>
      </c>
      <c r="W19" s="32">
        <f>F19*V19</f>
        <v>2880</v>
      </c>
      <c r="X19" s="32">
        <v>3</v>
      </c>
      <c r="Y19" s="41">
        <f>AV18</f>
        <v>3600</v>
      </c>
      <c r="Z19" s="32" t="s">
        <v>40</v>
      </c>
      <c r="AA19" s="32">
        <v>172800</v>
      </c>
      <c r="AB19" s="32" t="str">
        <f>IF(AA19&lt;60,"1",IF(AA19&lt;=43200,"2",IF(AA19&lt;=777600,"3","4")))</f>
        <v>3</v>
      </c>
      <c r="AC19" s="28">
        <f>AVERAGE(AV18:DA18)</f>
        <v>87600</v>
      </c>
      <c r="AD19" s="32" t="str">
        <f>IF(AC19&lt;60,"1",IF(AC19&lt;=43200,"2",IF(AC19&lt;=777600,"3","4")))</f>
        <v>3</v>
      </c>
      <c r="AE19" s="41">
        <f>AA19-Y19</f>
        <v>169200</v>
      </c>
      <c r="AF19" s="45">
        <f>AV19</f>
        <v>5.0741292594858338</v>
      </c>
      <c r="AG19" s="28">
        <f>((AW19-AV19)+(AX19-AW19))/2</f>
        <v>-1.1846389675437345</v>
      </c>
      <c r="AH19" s="4"/>
      <c r="AI19" s="28">
        <f>RSQ(AV19:AX19,AV18:AX18)</f>
        <v>0.86019257175099306</v>
      </c>
      <c r="AJ19" s="51">
        <f>SLOPE(AV19:AX19,AV18:AX18)</f>
        <v>-1.3933819925288916E-5</v>
      </c>
      <c r="AK19" s="28">
        <f>INTERCEPT(AV19:AX19,AV18:AX18)</f>
        <v>4.8440765217308375</v>
      </c>
      <c r="AL19" s="28">
        <f>INDEX(LINEST(LN(AV19:AX19),LN(AV18:AX18),TRUE,TRUE),3,1)</f>
        <v>0.99882942335665303</v>
      </c>
      <c r="AM19" s="28">
        <f>INDEX(LINEST(LN(AV19:AX19),LN(AV18:AX18)),1)</f>
        <v>-0.16047384338199436</v>
      </c>
      <c r="AN19" s="28">
        <f>EXP(INDEX(LINEST(LN(AV19:AX19),LN(AV18:AX18)),1,2))</f>
        <v>18.923865228028365</v>
      </c>
      <c r="AO19" s="47">
        <f>INDEX(LINEST((AV19:AX19),LN(AV18:AX18),TRUE,TRUE),3,1)</f>
        <v>0.99974307070223212</v>
      </c>
      <c r="AP19" s="47">
        <f>INDEX(LINEST((AV19:AX19),LN(AV18:AX18)),1)</f>
        <v>-0.61568442348276819</v>
      </c>
      <c r="AQ19" s="48">
        <f>INDEX(LINEST(LN(AV19:AX19),SQRT(AV18:AX18),TRUE,TRUE),3,1)</f>
        <v>0.98037176812903226</v>
      </c>
      <c r="AR19" s="56">
        <f>INDEX(LINEST(LN(AV19:AX19),SQRT((AV18:AX18))),1)</f>
        <v>-1.8154636869272341E-3</v>
      </c>
      <c r="AS19" s="49">
        <f>INDEX(LINEST(1/(AV19:AX19),1/(SQRT(AV18:AX18)),TRUE,TRUE),3,1)</f>
        <v>0.96090518390599089</v>
      </c>
      <c r="AT19" s="49">
        <f>INDEX(LINEST(1/(AV19:AX19),1/SQRT(AV18:AX18)),1)</f>
        <v>-11.002607146047147</v>
      </c>
      <c r="AU19" s="3"/>
      <c r="AV19" s="25">
        <v>5.0741292594858338</v>
      </c>
      <c r="AW19" s="25">
        <v>3.0914411049423856</v>
      </c>
      <c r="AX19" s="25">
        <v>2.7048513243983647</v>
      </c>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1"/>
      <c r="CS19" s="1"/>
      <c r="CT19" s="1"/>
      <c r="CU19" s="1"/>
    </row>
    <row r="20" spans="1:99" s="9" customFormat="1" ht="12" customHeight="1" x14ac:dyDescent="0.2">
      <c r="A20" s="37">
        <v>43509</v>
      </c>
      <c r="B20" s="1"/>
      <c r="C20" s="1"/>
      <c r="D20" s="32"/>
      <c r="E20" s="41"/>
      <c r="F20" s="32"/>
      <c r="G20" s="32"/>
      <c r="H20" s="32"/>
      <c r="I20" s="32"/>
      <c r="J20" s="32"/>
      <c r="K20" s="36"/>
      <c r="L20" s="36"/>
      <c r="M20" s="32"/>
      <c r="N20" s="32"/>
      <c r="O20" s="32"/>
      <c r="P20" s="32"/>
      <c r="Q20" s="32"/>
      <c r="R20" s="32"/>
      <c r="S20" s="32"/>
      <c r="T20" s="32"/>
      <c r="U20" s="32"/>
      <c r="V20" s="32"/>
      <c r="W20" s="32"/>
      <c r="X20" s="32"/>
      <c r="Y20" s="41"/>
      <c r="Z20" s="32"/>
      <c r="AA20" s="32"/>
      <c r="AB20" s="32"/>
      <c r="AC20" s="32"/>
      <c r="AD20" s="32"/>
      <c r="AE20" s="32"/>
      <c r="AF20" s="45"/>
      <c r="AG20" s="28"/>
      <c r="AH20" s="4"/>
      <c r="AI20" s="28"/>
      <c r="AJ20" s="51"/>
      <c r="AK20" s="28"/>
      <c r="AL20" s="28"/>
      <c r="AM20" s="28"/>
      <c r="AN20" s="28"/>
      <c r="AO20" s="28"/>
      <c r="AP20" s="28"/>
      <c r="AQ20" s="28"/>
      <c r="AR20" s="51"/>
      <c r="AS20" s="28"/>
      <c r="AT20" s="28"/>
      <c r="AU20" s="4"/>
      <c r="AV20" s="18">
        <f>60*60</f>
        <v>3600</v>
      </c>
      <c r="AW20" s="18">
        <f>24*3600</f>
        <v>86400</v>
      </c>
      <c r="AX20" s="18">
        <f>24*3600*2</f>
        <v>172800</v>
      </c>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1"/>
      <c r="CS20" s="1"/>
      <c r="CT20" s="1"/>
      <c r="CU20" s="1"/>
    </row>
    <row r="21" spans="1:99" s="9" customFormat="1" ht="12" customHeight="1" x14ac:dyDescent="0.2">
      <c r="A21" s="37">
        <v>43509</v>
      </c>
      <c r="B21" s="1" t="s">
        <v>43</v>
      </c>
      <c r="C21" s="1" t="s">
        <v>27</v>
      </c>
      <c r="D21" s="32">
        <v>2007</v>
      </c>
      <c r="E21" s="41">
        <v>1</v>
      </c>
      <c r="F21" s="32">
        <v>72</v>
      </c>
      <c r="G21" s="32">
        <v>24</v>
      </c>
      <c r="H21" s="32" t="s">
        <v>14</v>
      </c>
      <c r="I21" s="32" t="s">
        <v>138</v>
      </c>
      <c r="J21" s="32" t="s">
        <v>109</v>
      </c>
      <c r="K21" s="32">
        <f>IF(J21="syllables",1,IF(J21="trigrams",2,IF(J21="strings",3,IF(J21="visual array",4,IF(J21="characters",5,IF(J21="letters",6,IF(J21="free forms",7,IF(J21="odors",8,IF(J21="words",9,IF(J21="pictures",10,IF(J21="object pictures",11,IF(J21="faces",12,IF(J21="names",13,IF(J21="idioms",14,IF(J21="grades",15,IF(J21="syllable-digit pairs",16,IF(J21="trigram-word pairs",17,IF(J21="word-digit pairs",18,IF(J21="English-Swahili pairs",19,IF(J21="spatial position",20,IF(J21="word pairs",21,IF(J21="word triads",22,IF(J21="generated words",23,IF(J21="word definition pairs",24,IF(J21="math problems",25,IF(J21="famous faces",26,IF(J21="famous names",27,IF(J21="famous voices",28,IF(J21="television programs",29,IF(J21="race horses",30,IF(J21="new vocabulary",31,IF(J21="sentences",32,IF(J21="concepts",33,IF(J21="ad slides",34,IF(J21="scenes",35,IF(J21="famous scenes",36,IF(J21="poems",37,IF(J21="walk",38,IF(J21="faces and events",39,IF(J21="events and names",40,IF(J21="flashbulb",41,IF(J21="stories",42,IF(J21="course material",43,IF(J21="autobiographical",44,IF(J21="novels",45,IF(J21="public events",46,"99"))))))))))))))))))))))))))))))))))))))))))))))</f>
        <v>32</v>
      </c>
      <c r="L21" s="32">
        <f>IF(J21="syllables",1,IF(J21="trigrams",1,IF(J21="strings",1,IF(J21="visual array",1,IF(J21="characters",1,IF(J21="letters",1,IF(J21="free forms",1,IF(J21="odors",2,IF(J21="words",2,IF(J21="pictures",2,IF(J21="object pictures",2,IF(J21="faces",2,IF(J21="names",2,IF(J21="idioms","2",IF(J21="grades",2,IF(J21="syllable-digit pairs",3,IF(J21="trigram-word pairs",3,IF(J21="word-digit pairs",3,IF(J21="English-Swahili pairs",3,IF(J21="spatial position",3,IF(J21="word pairs",4,IF(J21="word triads",4,IF(J21="generated words",4,IF(J21="word definition pairs",4,IF(J21="math problems",4,IF(J21="famous faces",4,IF(J21="famous names",4,IF(J21="famous voices",4,IF(J21="television programs",4,IF(J21="race horses",4,IF(J21="new vocabulary",4,IF(J21="sentences",5,IF(J21="concepts",5,IF(J21="ad slides",5,IF(J21="scenes",5,IF(J21="famous scenes",5,IF(J21="poems",6,IF(J21="walk",6,IF(J21="faces and events",6,IF(J21="events and names",6,IF(J21="flashbulb",7,IF(J21="stories",7,IF(J21="course material",7,IF(J21="autobiographical",7,IF(J21="novels",7,IF(J21="public events",7,"99"))))))))))))))))))))))))))))))))))))))))))))))</f>
        <v>5</v>
      </c>
      <c r="M21" s="32">
        <v>0</v>
      </c>
      <c r="N21" s="32">
        <v>3</v>
      </c>
      <c r="O21" s="32">
        <v>0</v>
      </c>
      <c r="P21" s="32"/>
      <c r="Q21" s="32" t="s">
        <v>18</v>
      </c>
      <c r="R21" s="32">
        <f>IF(Q21="Free Recall",1,IF(Q21="Cued Recall",2,IF(Q21="Recognition",3,IF(Q21="Multiple Choice",4,IF(Q21="Savings",5,IF(Q21="Stem Completion",6,IF(Q21="Fragment Completion",7,IF(Q21="anagram solution",8,IF(Q21="Matching",9,IF(Q21="Problem Solving",10,"99"))))))))))</f>
        <v>3</v>
      </c>
      <c r="S21" s="77" t="s">
        <v>196</v>
      </c>
      <c r="T21" s="32" t="s">
        <v>72</v>
      </c>
      <c r="U21" s="32">
        <f>IF(T21="within",1,0)</f>
        <v>0</v>
      </c>
      <c r="V21" s="32">
        <v>40</v>
      </c>
      <c r="W21" s="32">
        <f>F21*V21</f>
        <v>2880</v>
      </c>
      <c r="X21" s="32">
        <v>3</v>
      </c>
      <c r="Y21" s="41">
        <f>AV20</f>
        <v>3600</v>
      </c>
      <c r="Z21" s="32" t="s">
        <v>40</v>
      </c>
      <c r="AA21" s="32">
        <v>172800</v>
      </c>
      <c r="AB21" s="32" t="str">
        <f>IF(AA21&lt;60,"1",IF(AA21&lt;=43200,"2",IF(AA21&lt;=777600,"3","4")))</f>
        <v>3</v>
      </c>
      <c r="AC21" s="28">
        <f>AVERAGE(AV20:DA20)</f>
        <v>87600</v>
      </c>
      <c r="AD21" s="32" t="str">
        <f>IF(AC21&lt;60,"1",IF(AC21&lt;=43200,"2",IF(AC21&lt;=777600,"3","4")))</f>
        <v>3</v>
      </c>
      <c r="AE21" s="41">
        <f>AA21-Y21</f>
        <v>169200</v>
      </c>
      <c r="AF21" s="45">
        <f>AV21</f>
        <v>4.3926350123964646</v>
      </c>
      <c r="AG21" s="28">
        <f>((AW21-AV21)+(AX21-AW21))/2</f>
        <v>-1.1813149533484204</v>
      </c>
      <c r="AH21" s="4"/>
      <c r="AI21" s="28">
        <f>RSQ(AV21:AX21,AV20:AX20)</f>
        <v>0.84467134036109737</v>
      </c>
      <c r="AJ21" s="51">
        <f>SLOPE(AV21:AX21,AV20:AX20)</f>
        <v>-1.3890363057847853E-5</v>
      </c>
      <c r="AK21" s="28">
        <f>INTERCEPT(AV21:AX21,AV20:AX20)</f>
        <v>4.1455088639891002</v>
      </c>
      <c r="AL21" s="28">
        <f>INDEX(LINEST(LN(AV21:AX21),LN(AV20:AX20),TRUE,TRUE),3,1)</f>
        <v>0.99966148041189262</v>
      </c>
      <c r="AM21" s="28">
        <f>INDEX(LINEST(LN(AV21:AX21),LN(AV20:AX20)),1)</f>
        <v>-0.19804254861197892</v>
      </c>
      <c r="AN21" s="28">
        <f>EXP(INDEX(LINEST(LN(AV21:AX21),LN(AV20:AX20)),1,2))</f>
        <v>22.266795600293655</v>
      </c>
      <c r="AO21" s="47">
        <f>INDEX(LINEST((AV21:AX21),LN(AV20:AX20),TRUE,TRUE),3,1)</f>
        <v>0.99856293102438531</v>
      </c>
      <c r="AP21" s="47">
        <f>INDEX(LINEST((AV21:AX21),LN(AV20:AX20)),1)</f>
        <v>-0.6190119783954563</v>
      </c>
      <c r="AQ21" s="48">
        <f>INDEX(LINEST(LN(AV21:AX21),SQRT(AV20:AX20),TRUE,TRUE),3,1)</f>
        <v>0.97574287122258618</v>
      </c>
      <c r="AR21" s="56">
        <f>INDEX(LINEST(LN(AV21:AX21),SQRT((AV20:AX20))),1)</f>
        <v>-2.2342578834374134E-3</v>
      </c>
      <c r="AS21" s="49">
        <f>INDEX(LINEST(1/(AV21:AX21),1/(SQRT(AV20:AX20)),TRUE,TRUE),3,1)</f>
        <v>0.96315647974217855</v>
      </c>
      <c r="AT21" s="49">
        <f>INDEX(LINEST(1/(AV21:AX21),1/SQRT(AV20:AX20)),1)</f>
        <v>-16.934019571869882</v>
      </c>
      <c r="AU21" s="3"/>
      <c r="AV21" s="25">
        <v>4.3926350123964646</v>
      </c>
      <c r="AW21" s="25">
        <v>2.3634990622687968</v>
      </c>
      <c r="AX21" s="25">
        <v>2.0300051056996238</v>
      </c>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1"/>
      <c r="CS21" s="1"/>
      <c r="CT21" s="1"/>
      <c r="CU21" s="1"/>
    </row>
    <row r="22" spans="1:99" s="60" customFormat="1" ht="12" customHeight="1" x14ac:dyDescent="0.2">
      <c r="A22" s="94">
        <v>43902</v>
      </c>
      <c r="B22" s="101"/>
      <c r="C22" s="101"/>
      <c r="D22" s="77"/>
      <c r="E22" s="98"/>
      <c r="F22" s="77"/>
      <c r="G22" s="77"/>
      <c r="H22" s="77"/>
      <c r="I22" s="77"/>
      <c r="J22" s="77"/>
      <c r="K22" s="102"/>
      <c r="L22" s="102"/>
      <c r="M22" s="77"/>
      <c r="N22" s="103"/>
      <c r="O22" s="77"/>
      <c r="P22" s="77"/>
      <c r="Q22" s="77"/>
      <c r="R22" s="77"/>
      <c r="S22" s="77"/>
      <c r="T22" s="96"/>
      <c r="U22" s="32"/>
      <c r="V22" s="96"/>
      <c r="W22" s="77"/>
      <c r="X22" s="77"/>
      <c r="Y22" s="98"/>
      <c r="Z22" s="96"/>
      <c r="AA22" s="96"/>
      <c r="AB22" s="77"/>
      <c r="AC22" s="100"/>
      <c r="AD22" s="77"/>
      <c r="AE22" s="77"/>
      <c r="AF22" s="99"/>
      <c r="AG22" s="100"/>
      <c r="AH22" s="84"/>
      <c r="AI22" s="100"/>
      <c r="AJ22" s="105"/>
      <c r="AK22" s="100"/>
      <c r="AL22" s="100"/>
      <c r="AM22" s="100"/>
      <c r="AN22" s="100"/>
      <c r="AO22" s="104"/>
      <c r="AP22" s="104"/>
      <c r="AQ22" s="48"/>
      <c r="AR22" s="56"/>
      <c r="AS22" s="49"/>
      <c r="AT22" s="49"/>
      <c r="AU22" s="63"/>
      <c r="AV22" s="64">
        <v>60</v>
      </c>
      <c r="AW22" s="64">
        <v>3600</v>
      </c>
      <c r="AX22" s="64">
        <v>86400</v>
      </c>
      <c r="AY22" s="65"/>
      <c r="AZ22" s="65"/>
      <c r="BA22" s="65"/>
      <c r="BB22" s="65"/>
      <c r="BC22" s="65"/>
      <c r="BD22" s="65"/>
      <c r="BE22" s="65"/>
      <c r="BF22" s="65"/>
      <c r="BG22" s="65"/>
      <c r="BH22" s="65"/>
      <c r="BI22" s="65"/>
      <c r="BJ22" s="65"/>
      <c r="BK22" s="65"/>
      <c r="BL22" s="61"/>
      <c r="BM22" s="61"/>
      <c r="BN22" s="61"/>
      <c r="BO22" s="61"/>
      <c r="BP22" s="61"/>
      <c r="BQ22" s="61"/>
      <c r="BR22" s="61"/>
      <c r="BS22" s="61"/>
      <c r="BT22" s="61"/>
      <c r="BU22" s="61"/>
      <c r="BV22" s="61"/>
      <c r="BW22" s="61"/>
      <c r="BX22" s="61"/>
      <c r="BY22" s="61"/>
      <c r="BZ22" s="61"/>
      <c r="CA22" s="61"/>
      <c r="CB22" s="61"/>
      <c r="CC22" s="61"/>
      <c r="CD22" s="61"/>
      <c r="CE22" s="61"/>
      <c r="CF22" s="61"/>
      <c r="CG22" s="61"/>
      <c r="CH22" s="61"/>
      <c r="CI22" s="61"/>
      <c r="CJ22" s="61"/>
      <c r="CK22" s="61"/>
      <c r="CL22" s="61"/>
      <c r="CM22" s="61"/>
      <c r="CN22" s="61"/>
      <c r="CO22" s="61"/>
      <c r="CP22" s="61"/>
      <c r="CQ22" s="61"/>
      <c r="CR22" s="59"/>
      <c r="CS22" s="59"/>
      <c r="CT22" s="59"/>
      <c r="CU22" s="59"/>
    </row>
    <row r="23" spans="1:99" s="60" customFormat="1" ht="12" customHeight="1" x14ac:dyDescent="0.2">
      <c r="A23" s="94">
        <v>43902</v>
      </c>
      <c r="B23" s="101" t="s">
        <v>106</v>
      </c>
      <c r="C23" s="101" t="s">
        <v>91</v>
      </c>
      <c r="D23" s="77">
        <v>1988</v>
      </c>
      <c r="E23" s="98">
        <v>1</v>
      </c>
      <c r="F23" s="77">
        <v>4</v>
      </c>
      <c r="G23" s="77">
        <v>4</v>
      </c>
      <c r="H23" s="77" t="s">
        <v>201</v>
      </c>
      <c r="I23" s="77" t="s">
        <v>89</v>
      </c>
      <c r="J23" s="96" t="s">
        <v>88</v>
      </c>
      <c r="K23" s="77" t="str">
        <f>IF(J23="syllables","1",IF(J23="trigrams","2",IF(J23="strings","3",IF(J23="visual array","4",IF(J23="characters","5",IF(J23="letters","6",IF(J23="free forms","7",IF(J23="odors","8",IF(J23="words","9",IF(J23="pictures","10",IF(J23="object pictures","11",IF(J23="faces","12",IF(J23="names","13",IF(J23="idioms","14",IF(J23="grades","15",IF(J23="syllable-digit pairs","16",IF(J23="trigram-word pairs","17",IF(J23="word-digit pairs","18",IF(J23="English-Swahili pairs","19",IF(J23="spatial position","20",IF(J23="word pairs","21",IF(J23="word triads","22",IF(J23="generated words","23",IF(J23="word definition pairs","24",IF(J23="math problems","25",IF(J23="famous faces","26",IF(J23="famous names","27",IF(J23="famous voices","28",IF(J23="television programs","29",IF(J23="race horses","30",IF(J23="new vocabulary","31",IF(J23="sentences","32",IF(J23="concepts","33",IF(J23="ad slides","34",IF(J23="scenes","35",IF(J23="famous scenes","36",IF(J23="poems","37",IF(J23="walk","38",IF(J23="faces and events","39",IF(J23="events and names","40",IF(J23="flashbulb","41",IF(J23="stories","42",IF(J23="course material","43",IF(J23="autobiographical","44",IF(J23="novels","45",IF(J23="public events","46",IF(J23="order","90","99")))))))))))))))))))))))))))))))))))))))))))))))</f>
        <v>12</v>
      </c>
      <c r="L23" s="77" t="str">
        <f>IF(J23="syllables","1",IF(J23="trigrams","1",IF(J23="strings","1",IF(J23="visual array","1",IF(J23="characters","1",IF(J23="letters","1",IF(J23="free forms","1",IF(J23="odors","2",IF(J23="words","2",IF(J23="pictures","2",IF(J23="object pictures","2",IF(J23="faces","2",IF(J23="names","2",IF(J23="idioms","2",IF(J23="grades","2",IF(J23="syllable-digit pairs","3",IF(J23="trigram-word pairs","3",IF(J23="word-digit pairs","3",IF(J23="English-Swahili pairs","3",IF(J23="spatial position","3",IF(J23="word pairs","4",IF(J23="word triads","4",IF(J23="generated words","4",IF(J23="word definition pairs","4",IF(J23="math problems","4",IF(J23="famous faces","4",IF(J23="famous names","4",IF(J23="famous voices","4",IF(J23="television programs","4",IF(J23="race horses","4",IF(J23="new vocabulary","4",IF(J23="sentences","5",IF(J23="concepts","5",IF(J23="ad slides","5",IF(J23="scenes","5",IF(J23="famous scenes","5",IF(J23="poems","6",IF(J23="walk","6",IF(J23="faces and events","6",IF(J23="events and names","6",IF(J23="flashbulb","7",IF(J23="stories","7",IF(J23="course material","7",IF(J23="autobiographical","7",IF(J23="novels","7",IF(J23="public events","7",IF(J23="order","90","99")))))))))))))))))))))))))))))))))))))))))))))))</f>
        <v>2</v>
      </c>
      <c r="M23" s="77" t="s">
        <v>195</v>
      </c>
      <c r="N23" s="103">
        <v>1</v>
      </c>
      <c r="O23" s="77" t="s">
        <v>195</v>
      </c>
      <c r="P23" s="77"/>
      <c r="Q23" s="77" t="s">
        <v>18</v>
      </c>
      <c r="R23" s="77" t="str">
        <f>IF(Q23="Free Recall","1",IF(Q23="Cued Recall","2",IF(Q23="Recognition","3",IF(Q23="Multiple Choice","4",IF(Q23="Savings","5",IF(Q23="Stem Completion","6",IF(Q23="Fragment Completion","7",IF(Q23="anagram solution","8",IF(Q23="Matching","9",IF(Q23="Problem Solving","10","99"))))))))))</f>
        <v>3</v>
      </c>
      <c r="S23" s="77" t="s">
        <v>196</v>
      </c>
      <c r="T23" s="96" t="s">
        <v>132</v>
      </c>
      <c r="U23" s="32">
        <f>IF(T23="within",1,0)</f>
        <v>1</v>
      </c>
      <c r="V23" s="96">
        <v>15</v>
      </c>
      <c r="W23" s="77">
        <f>F23*V23</f>
        <v>60</v>
      </c>
      <c r="X23" s="77">
        <v>3</v>
      </c>
      <c r="Y23" s="98">
        <f>AV22</f>
        <v>60</v>
      </c>
      <c r="Z23" s="96" t="s">
        <v>107</v>
      </c>
      <c r="AA23" s="96">
        <v>86400</v>
      </c>
      <c r="AB23" s="77" t="str">
        <f>IF(AA23&lt;60,"1",IF(AA23&lt;=43200,"2",IF(AA23&lt;=777600,"3","4")))</f>
        <v>3</v>
      </c>
      <c r="AC23" s="100">
        <f>AVERAGE(AV22:DA22)</f>
        <v>30020</v>
      </c>
      <c r="AD23" s="77" t="str">
        <f>IF(AC23&lt;60,"1",IF(AC23&lt;=43200,"2",IF(AC23&lt;=777600,"3","4")))</f>
        <v>2</v>
      </c>
      <c r="AE23" s="98">
        <f>AA23-Y23</f>
        <v>86340</v>
      </c>
      <c r="AF23" s="99">
        <f>AV23</f>
        <v>1.75</v>
      </c>
      <c r="AG23" s="100">
        <f>((AW23-AV23)+(AX23-AW23))/2</f>
        <v>-0.46500000000000002</v>
      </c>
      <c r="AH23" s="84"/>
      <c r="AI23" s="100">
        <f>RSQ(AV23:AX23,AV22:AX22)</f>
        <v>0.6767205514577439</v>
      </c>
      <c r="AJ23" s="105">
        <f>SLOPE(AV23:AX23,AV22:AX22)</f>
        <v>-7.8834642587186818E-6</v>
      </c>
      <c r="AK23" s="100">
        <f>INTERCEPT(AV23:AX23,AV22:AX22)</f>
        <v>1.4899949303800679</v>
      </c>
      <c r="AL23" s="100">
        <f>INDEX(LINEST(LN(AV23:AX23),LN(AV22:AX22),TRUE,TRUE),3,1)</f>
        <v>0.99609652855245923</v>
      </c>
      <c r="AM23" s="100">
        <f>INDEX(LINEST(LN(AV23:AX23),LN(AV22:AX22)),1)</f>
        <v>-0.10376636196991192</v>
      </c>
      <c r="AN23" s="100">
        <f>EXP(INDEX(LINEST(LN(AV23:AX23),LN(AV22:AX22)),1,2))</f>
        <v>2.7084860164773827</v>
      </c>
      <c r="AO23" s="104">
        <f>INDEX(LINEST((AV23:AX23),LN(AV22:AX22),TRUE,TRUE),3,1)</f>
        <v>0.99799474576990055</v>
      </c>
      <c r="AP23" s="104">
        <f>INDEX(LINEST((AV23:AX23),LN(AV22:AX22)),1)</f>
        <v>-0.1282991324602534</v>
      </c>
      <c r="AQ23" s="48">
        <f>INDEX(LINEST(LN(AV23:AX23),SQRT(AV22:AX22),TRUE,TRUE),3,1)</f>
        <v>0.87496911772727393</v>
      </c>
      <c r="AR23" s="56">
        <f>INDEX(LINEST(LN(AV23:AX23),SQRT((AV22:AX22))),1)</f>
        <v>-2.3264623477487439E-3</v>
      </c>
      <c r="AS23" s="49">
        <f>INDEX(LINEST(1/(AV23:AX23),1/(SQRT(AV22:AX22)),TRUE,TRUE),3,1)</f>
        <v>0.74849472216111423</v>
      </c>
      <c r="AT23" s="49">
        <f>INDEX(LINEST(1/(AV23:AX23),1/SQRT(AV22:AX22)),1)</f>
        <v>-4.0789189086162994</v>
      </c>
      <c r="AU23" s="63"/>
      <c r="AV23" s="65">
        <v>1.75</v>
      </c>
      <c r="AW23" s="65">
        <v>1.19</v>
      </c>
      <c r="AX23" s="65">
        <v>0.82</v>
      </c>
      <c r="AY23" s="65"/>
      <c r="AZ23" s="65"/>
      <c r="BA23" s="65"/>
      <c r="BB23" s="65"/>
      <c r="BC23" s="65"/>
      <c r="BD23" s="65"/>
      <c r="BE23" s="65"/>
      <c r="BF23" s="65"/>
      <c r="BG23" s="65"/>
      <c r="BH23" s="65"/>
      <c r="BI23" s="65"/>
      <c r="BJ23" s="65"/>
      <c r="BK23" s="65"/>
      <c r="BL23" s="61"/>
      <c r="BM23" s="61"/>
      <c r="BN23" s="61"/>
      <c r="BO23" s="61"/>
      <c r="BP23" s="61"/>
      <c r="BQ23" s="61"/>
      <c r="BR23" s="61"/>
      <c r="BS23" s="61"/>
      <c r="BT23" s="61"/>
      <c r="BU23" s="61"/>
      <c r="BV23" s="61"/>
      <c r="BW23" s="61"/>
      <c r="BX23" s="61"/>
      <c r="BY23" s="61"/>
      <c r="BZ23" s="61"/>
      <c r="CA23" s="61"/>
      <c r="CB23" s="61"/>
      <c r="CC23" s="61"/>
      <c r="CD23" s="61"/>
      <c r="CE23" s="61"/>
      <c r="CF23" s="61"/>
      <c r="CG23" s="61"/>
      <c r="CH23" s="61"/>
      <c r="CI23" s="61"/>
      <c r="CJ23" s="61"/>
      <c r="CK23" s="61"/>
      <c r="CL23" s="61"/>
      <c r="CM23" s="61"/>
      <c r="CN23" s="61"/>
      <c r="CO23" s="61"/>
      <c r="CP23" s="61"/>
      <c r="CQ23" s="61"/>
      <c r="CR23" s="59"/>
      <c r="CS23" s="59"/>
      <c r="CT23" s="59"/>
      <c r="CU23" s="59"/>
    </row>
    <row r="24" spans="1:99" s="9" customFormat="1" ht="12" customHeight="1" x14ac:dyDescent="0.2">
      <c r="A24" s="37">
        <v>43979</v>
      </c>
      <c r="B24" s="1"/>
      <c r="C24" s="1"/>
      <c r="D24" s="32"/>
      <c r="E24" s="41"/>
      <c r="F24" s="32"/>
      <c r="G24" s="32"/>
      <c r="H24" s="32"/>
      <c r="I24" s="32"/>
      <c r="J24" s="32"/>
      <c r="K24" s="32"/>
      <c r="L24" s="32"/>
      <c r="M24" s="32"/>
      <c r="N24" s="32"/>
      <c r="O24" s="32"/>
      <c r="P24" s="32"/>
      <c r="Q24" s="32"/>
      <c r="R24" s="32"/>
      <c r="S24" s="32"/>
      <c r="T24" s="31"/>
      <c r="U24" s="32"/>
      <c r="V24" s="31"/>
      <c r="W24" s="32"/>
      <c r="X24" s="32"/>
      <c r="Y24" s="41"/>
      <c r="Z24" s="32"/>
      <c r="AA24" s="32"/>
      <c r="AB24" s="32"/>
      <c r="AC24" s="28"/>
      <c r="AD24" s="32"/>
      <c r="AE24" s="41"/>
      <c r="AF24" s="45"/>
      <c r="AG24" s="28"/>
      <c r="AH24" s="4"/>
      <c r="AI24" s="28"/>
      <c r="AJ24" s="51"/>
      <c r="AK24" s="28"/>
      <c r="AL24" s="28"/>
      <c r="AM24" s="28"/>
      <c r="AN24" s="28"/>
      <c r="AO24" s="47"/>
      <c r="AP24" s="47"/>
      <c r="AQ24" s="48"/>
      <c r="AR24" s="56"/>
      <c r="AS24" s="49"/>
      <c r="AT24" s="49"/>
      <c r="AU24" s="3"/>
      <c r="AV24" s="18">
        <f>60*10</f>
        <v>600</v>
      </c>
      <c r="AW24" s="18">
        <f>60*60*2</f>
        <v>7200</v>
      </c>
      <c r="AX24" s="18">
        <f>60*60*31</f>
        <v>111600</v>
      </c>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1"/>
      <c r="CS24" s="1"/>
      <c r="CT24" s="1"/>
      <c r="CU24" s="1"/>
    </row>
    <row r="25" spans="1:99" s="9" customFormat="1" ht="12" customHeight="1" x14ac:dyDescent="0.2">
      <c r="A25" s="37">
        <v>43979</v>
      </c>
      <c r="B25" s="1" t="s">
        <v>172</v>
      </c>
      <c r="C25" s="1" t="s">
        <v>173</v>
      </c>
      <c r="D25" s="32">
        <v>1992</v>
      </c>
      <c r="E25" s="41">
        <v>1</v>
      </c>
      <c r="F25" s="32">
        <v>10</v>
      </c>
      <c r="G25" s="32">
        <v>10</v>
      </c>
      <c r="H25" s="32" t="s">
        <v>28</v>
      </c>
      <c r="I25" s="32" t="s">
        <v>89</v>
      </c>
      <c r="J25" s="32" t="s">
        <v>82</v>
      </c>
      <c r="K25" s="32">
        <f>IF(J25="syllables",1,IF(J25="trigrams",2,IF(J25="strings",3,IF(J25="visual array",4,IF(J25="characters",5,IF(J25="letters",6,IF(J25="free forms",7,IF(J25="odors",8,IF(J25="words",9,IF(J25="pictures",10,IF(J25="object pictures",11,IF(J25="faces",12,IF(J25="names",13,IF(J25="idioms",14,IF(J25="grades",15,IF(J25="syllable-digit pairs",16,IF(J25="trigram-word pairs",17,IF(J25="word-digit pairs",18,IF(J25="English-Swahili pairs",19,IF(J25="spatial position",20,IF(J25="word pairs",21,IF(J25="word triads",22,IF(J25="generated words",23,IF(J25="word definition pairs",24,IF(J25="math problems",25,IF(J25="famous faces",26,IF(J25="famous names",27,IF(J25="famous voices",28,IF(J25="television programs",29,IF(J25="race horses",30,IF(J25="new vocabulary",31,IF(J25="sentences",32,IF(J25="concepts",33,IF(J25="ad slides",34,IF(J25="scenes",35,IF(J25="famous scenes",36,IF(J25="poems",37,IF(J25="walk",38,IF(J25="faces and events",39,IF(J25="events and names",40,IF(J25="flashbulb",41,IF(J25="stories",42,IF(J25="course material",43,IF(J25="autobiographical",44,IF(J25="novels",45,IF(J25="public events",46,"99"))))))))))))))))))))))))))))))))))))))))))))))</f>
        <v>10</v>
      </c>
      <c r="L25" s="32">
        <f>IF(J25="syllables",1,IF(J25="trigrams",1,IF(J25="strings",1,IF(J25="visual array",1,IF(J25="characters",1,IF(J25="letters",1,IF(J25="free forms",1,IF(J25="odors",2,IF(J25="words",2,IF(J25="pictures",2,IF(J25="object pictures",2,IF(J25="faces",2,IF(J25="names",2,IF(J25="idioms","2",IF(J25="grades",2,IF(J25="syllable-digit pairs",3,IF(J25="trigram-word pairs",3,IF(J25="word-digit pairs",3,IF(J25="English-Swahili pairs",3,IF(J25="spatial position",3,IF(J25="word pairs",4,IF(J25="word triads",4,IF(J25="generated words",4,IF(J25="word definition pairs",4,IF(J25="math problems",4,IF(J25="famous faces",4,IF(J25="famous names",4,IF(J25="famous voices",4,IF(J25="television programs",4,IF(J25="race horses",4,IF(J25="new vocabulary",4,IF(J25="sentences",5,IF(J25="concepts",5,IF(J25="ad slides",5,IF(J25="scenes",5,IF(J25="famous scenes",5,IF(J25="poems",6,IF(J25="walk",6,IF(J25="faces and events",6,IF(J25="events and names",6,IF(J25="flashbulb",7,IF(J25="stories",7,IF(J25="course material",7,IF(J25="autobiographical",7,IF(J25="novels",7,IF(J25="public events",7,"99"))))))))))))))))))))))))))))))))))))))))))))))</f>
        <v>2</v>
      </c>
      <c r="M25" s="32">
        <v>0</v>
      </c>
      <c r="N25" s="32">
        <v>1</v>
      </c>
      <c r="O25" s="32">
        <v>0</v>
      </c>
      <c r="P25" s="32"/>
      <c r="Q25" s="32" t="s">
        <v>18</v>
      </c>
      <c r="R25" s="32">
        <f>IF(Q25="Free Recall",1,IF(Q25="Cued Recall",2,IF(Q25="Recognition",3,IF(Q25="Multiple Choice",4,IF(Q25="Savings",5,IF(Q25="Stem Completion",6,IF(Q25="Fragment Completion",7,IF(Q25="anagram solution",8,IF(Q25="Matching",9,IF(Q25="Problem Solving",10,"99"))))))))))</f>
        <v>3</v>
      </c>
      <c r="S25" s="31" t="s">
        <v>196</v>
      </c>
      <c r="T25" s="31" t="s">
        <v>132</v>
      </c>
      <c r="U25" s="32">
        <f>IF(T25="within",1,0)</f>
        <v>1</v>
      </c>
      <c r="V25" s="31">
        <v>30</v>
      </c>
      <c r="W25" s="32">
        <f>F25*V25</f>
        <v>300</v>
      </c>
      <c r="X25" s="32">
        <v>3</v>
      </c>
      <c r="Y25" s="41">
        <f>AV24</f>
        <v>600</v>
      </c>
      <c r="Z25" s="32" t="s">
        <v>174</v>
      </c>
      <c r="AA25" s="32">
        <f>60*60*31</f>
        <v>111600</v>
      </c>
      <c r="AB25" s="32" t="str">
        <f>IF(AA25&lt;60,"1",IF(AA25&lt;=43200,"2",IF(AA25&lt;=777600,"3","4")))</f>
        <v>3</v>
      </c>
      <c r="AC25" s="28">
        <f>AVERAGE(AV24:DA24)</f>
        <v>39800</v>
      </c>
      <c r="AD25" s="32" t="str">
        <f>IF(AC25&lt;60,"1",IF(AC25&lt;=43200,"2",IF(AC25&lt;=777600,"3","4")))</f>
        <v>2</v>
      </c>
      <c r="AE25" s="41">
        <f>AA25-Y25</f>
        <v>111000</v>
      </c>
      <c r="AF25" s="45">
        <f>AV25</f>
        <v>1.9500924186938677</v>
      </c>
      <c r="AG25" s="28">
        <f>((AW25-AV25)+(AX25-AW25))/2</f>
        <v>-0.58762683064586685</v>
      </c>
      <c r="AH25" s="4"/>
      <c r="AI25" s="28">
        <f>RSQ(AV25:AX25,AV24:AX24)</f>
        <v>0.80740791491291619</v>
      </c>
      <c r="AJ25" s="51">
        <f>SLOPE(AV25:AX25,AV24:AX24)</f>
        <v>-8.4808557537713678E-6</v>
      </c>
      <c r="AK25" s="28">
        <f>INTERCEPT(AV25:AX25,AV24:AX24)</f>
        <v>1.7055190362171644</v>
      </c>
      <c r="AL25" s="28">
        <f>INDEX(LINEST(LN(AV25:AX25),LN(AV24:AX24),TRUE,TRUE),3,1)</f>
        <v>0.98692487987137489</v>
      </c>
      <c r="AM25" s="28">
        <f>INDEX(LINEST(LN(AV25:AX25),LN(AV24:AX24)),1)</f>
        <v>-0.17719780295865997</v>
      </c>
      <c r="AN25" s="28">
        <f>EXP(INDEX(LINEST(LN(AV25:AX25),LN(AV24:AX24)),1,2))</f>
        <v>6.2568279805252649</v>
      </c>
      <c r="AO25" s="47">
        <f>INDEX(LINEST((AV25:AX25),LN(AV24:AX24),TRUE,TRUE),3,1)</f>
        <v>0.99985569252502215</v>
      </c>
      <c r="AP25" s="47">
        <f>INDEX(LINEST((AV25:AX25),LN(AV24:AX24)),1)</f>
        <v>-0.22482042055508536</v>
      </c>
      <c r="AQ25" s="48">
        <f>INDEX(LINEST(LN(AV25:AX25),SQRT(AV24:AX24),TRUE,TRUE),3,1)</f>
        <v>0.96215696991533461</v>
      </c>
      <c r="AR25" s="56">
        <f>INDEX(LINEST(LN(AV25:AX25),SQRT((AV24:AX24))),1)</f>
        <v>-2.7868080664488837E-3</v>
      </c>
      <c r="AS25" s="49">
        <f>INDEX(LINEST(1/(AV25:AX25),1/(SQRT(AV24:AX24)),TRUE,TRUE),3,1)</f>
        <v>0.72141789497417141</v>
      </c>
      <c r="AT25" s="49">
        <f>INDEX(LINEST(1/(AV25:AX25),1/SQRT(AV24:AX24)),1)</f>
        <v>-17.247574938138769</v>
      </c>
      <c r="AU25" s="3"/>
      <c r="AV25" s="25">
        <v>1.9500924186938677</v>
      </c>
      <c r="AW25" s="25">
        <v>1.3790117555551904</v>
      </c>
      <c r="AX25" s="25">
        <v>0.77483875740213404</v>
      </c>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1"/>
      <c r="CS25" s="1"/>
      <c r="CT25" s="1"/>
      <c r="CU25" s="1"/>
    </row>
    <row r="26" spans="1:99" s="9" customFormat="1" ht="12" customHeight="1" x14ac:dyDescent="0.2">
      <c r="A26" s="37">
        <v>43509</v>
      </c>
      <c r="B26" s="1"/>
      <c r="C26" s="1"/>
      <c r="D26" s="32"/>
      <c r="E26" s="41"/>
      <c r="F26" s="32"/>
      <c r="G26" s="32"/>
      <c r="H26" s="32"/>
      <c r="I26" s="32"/>
      <c r="J26" s="32"/>
      <c r="K26" s="36"/>
      <c r="L26" s="36"/>
      <c r="M26" s="32"/>
      <c r="N26" s="32"/>
      <c r="O26" s="32"/>
      <c r="P26" s="32"/>
      <c r="Q26" s="32"/>
      <c r="R26" s="32"/>
      <c r="S26" s="32"/>
      <c r="T26" s="32"/>
      <c r="U26" s="32"/>
      <c r="V26" s="32"/>
      <c r="W26" s="32"/>
      <c r="X26" s="32"/>
      <c r="Y26" s="41"/>
      <c r="Z26" s="32"/>
      <c r="AA26" s="32"/>
      <c r="AB26" s="32"/>
      <c r="AC26" s="32"/>
      <c r="AD26" s="32"/>
      <c r="AE26" s="32"/>
      <c r="AF26" s="45"/>
      <c r="AG26" s="28"/>
      <c r="AH26" s="4"/>
      <c r="AI26" s="28"/>
      <c r="AJ26" s="51"/>
      <c r="AK26" s="28"/>
      <c r="AL26" s="28"/>
      <c r="AM26" s="28"/>
      <c r="AN26" s="28"/>
      <c r="AO26" s="28"/>
      <c r="AP26" s="28"/>
      <c r="AQ26" s="47"/>
      <c r="AR26" s="55"/>
      <c r="AS26" s="47"/>
      <c r="AT26" s="47"/>
      <c r="AU26" s="4"/>
      <c r="AV26" s="18">
        <v>576</v>
      </c>
      <c r="AW26" s="18">
        <f>24*3600*2</f>
        <v>172800</v>
      </c>
      <c r="AX26" s="18">
        <f>24*3600*7</f>
        <v>604800</v>
      </c>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1"/>
      <c r="CS26" s="1"/>
      <c r="CT26" s="1"/>
      <c r="CU26" s="1"/>
    </row>
    <row r="27" spans="1:99" s="9" customFormat="1" ht="12" customHeight="1" x14ac:dyDescent="0.2">
      <c r="A27" s="37">
        <v>43509</v>
      </c>
      <c r="B27" s="1" t="s">
        <v>49</v>
      </c>
      <c r="C27" s="1" t="s">
        <v>33</v>
      </c>
      <c r="D27" s="32">
        <v>2001</v>
      </c>
      <c r="E27" s="41">
        <v>2</v>
      </c>
      <c r="F27" s="32">
        <v>72</v>
      </c>
      <c r="G27" s="32">
        <v>24</v>
      </c>
      <c r="H27" s="32" t="s">
        <v>14</v>
      </c>
      <c r="I27" s="32" t="s">
        <v>155</v>
      </c>
      <c r="J27" s="32" t="s">
        <v>12</v>
      </c>
      <c r="K27" s="32">
        <f>IF(J27="syllables",1,IF(J27="trigrams",2,IF(J27="strings",3,IF(J27="visual array",4,IF(J27="characters",5,IF(J27="letters",6,IF(J27="free forms",7,IF(J27="odors",8,IF(J27="words",9,IF(J27="pictures",10,IF(J27="object pictures",11,IF(J27="faces",12,IF(J27="names",13,IF(J27="idioms",14,IF(J27="grades",15,IF(J27="syllable-digit pairs",16,IF(J27="trigram-word pairs",17,IF(J27="word-digit pairs",18,IF(J27="English-Swahili pairs",19,IF(J27="spatial position",20,IF(J27="word pairs",21,IF(J27="word triads",22,IF(J27="generated words",23,IF(J27="word definition pairs",24,IF(J27="math problems",25,IF(J27="famous faces",26,IF(J27="famous names",27,IF(J27="famous voices",28,IF(J27="television programs",29,IF(J27="race horses",30,IF(J27="new vocabulary",31,IF(J27="sentences",32,IF(J27="concepts",33,IF(J27="ad slides",34,IF(J27="scenes",35,IF(J27="famous scenes",36,IF(J27="poems",37,IF(J27="walk",38,IF(J27="faces and events",39,IF(J27="events and names",40,IF(J27="flashbulb",41,IF(J27="stories",42,IF(J27="course material",43,IF(J27="autobiographical",44,IF(J27="novels",45,IF(J27="public events",46,"99"))))))))))))))))))))))))))))))))))))))))))))))</f>
        <v>9</v>
      </c>
      <c r="L27" s="32">
        <f>IF(J27="syllables",1,IF(J27="trigrams",1,IF(J27="strings",1,IF(J27="visual array",1,IF(J27="characters",1,IF(J27="letters",1,IF(J27="free forms",1,IF(J27="odors",2,IF(J27="words",2,IF(J27="pictures",2,IF(J27="object pictures",2,IF(J27="faces",2,IF(J27="names",2,IF(J27="idioms","2",IF(J27="grades",2,IF(J27="syllable-digit pairs",3,IF(J27="trigram-word pairs",3,IF(J27="word-digit pairs",3,IF(J27="English-Swahili pairs",3,IF(J27="spatial position",3,IF(J27="word pairs",4,IF(J27="word triads",4,IF(J27="generated words",4,IF(J27="word definition pairs",4,IF(J27="math problems",4,IF(J27="famous faces",4,IF(J27="famous names",4,IF(J27="famous voices",4,IF(J27="television programs",4,IF(J27="race horses",4,IF(J27="new vocabulary",4,IF(J27="sentences",5,IF(J27="concepts",5,IF(J27="ad slides",5,IF(J27="scenes",5,IF(J27="famous scenes",5,IF(J27="poems",6,IF(J27="walk",6,IF(J27="faces and events",6,IF(J27="events and names",6,IF(J27="flashbulb",7,IF(J27="stories",7,IF(J27="course material",7,IF(J27="autobiographical",7,IF(J27="novels",7,IF(J27="public events",7,"99"))))))))))))))))))))))))))))))))))))))))))))))</f>
        <v>2</v>
      </c>
      <c r="M27" s="32">
        <v>0</v>
      </c>
      <c r="N27" s="32">
        <v>1</v>
      </c>
      <c r="O27" s="32">
        <v>0</v>
      </c>
      <c r="P27" s="32"/>
      <c r="Q27" s="32" t="s">
        <v>18</v>
      </c>
      <c r="R27" s="32">
        <f>IF(Q27="Free Recall",1,IF(Q27="Cued Recall",2,IF(Q27="Recognition",3,IF(Q27="Multiple Choice",4,IF(Q27="Savings",5,IF(Q27="Stem Completion",6,IF(Q27="Fragment Completion",7,IF(Q27="anagram solution",8,IF(Q27="Matching",9,IF(Q27="Problem Solving",10,"99"))))))))))</f>
        <v>3</v>
      </c>
      <c r="S27" s="77" t="s">
        <v>196</v>
      </c>
      <c r="T27" s="32" t="s">
        <v>72</v>
      </c>
      <c r="U27" s="32">
        <f>IF(T27="within",1,0)</f>
        <v>0</v>
      </c>
      <c r="V27" s="32">
        <v>288</v>
      </c>
      <c r="W27" s="32">
        <f>F27*V27</f>
        <v>20736</v>
      </c>
      <c r="X27" s="32">
        <v>3</v>
      </c>
      <c r="Y27" s="41">
        <f>AV26</f>
        <v>576</v>
      </c>
      <c r="Z27" s="32" t="s">
        <v>41</v>
      </c>
      <c r="AA27" s="32">
        <v>604800</v>
      </c>
      <c r="AB27" s="32" t="str">
        <f>IF(AA27&lt;60,"1",IF(AA27&lt;=43200,"2",IF(AA27&lt;=777600,"3","4")))</f>
        <v>3</v>
      </c>
      <c r="AC27" s="28">
        <f>AVERAGE(AV26:DA26)</f>
        <v>259392</v>
      </c>
      <c r="AD27" s="32" t="str">
        <f>IF(AC27&lt;60,"1",IF(AC27&lt;=43200,"2",IF(AC27&lt;=777600,"3","4")))</f>
        <v>3</v>
      </c>
      <c r="AE27" s="41">
        <f>AA27-Y27</f>
        <v>604224</v>
      </c>
      <c r="AF27" s="45">
        <f>AV27</f>
        <v>3.0322376367967703</v>
      </c>
      <c r="AG27" s="28">
        <f>((AW27-AV27)+(AX27-AW27))/2</f>
        <v>-0.93094876962661743</v>
      </c>
      <c r="AH27" s="4"/>
      <c r="AI27" s="28">
        <f>RSQ(AV27:AX27,AV26:AX26)</f>
        <v>0.62492589914768337</v>
      </c>
      <c r="AJ27" s="51">
        <f>SLOPE(AV27:AX27,AV26:AX26)</f>
        <v>-2.5844693638728225E-6</v>
      </c>
      <c r="AK27" s="28">
        <f>INTERCEPT(AV27:AX27,AV26:AX26)</f>
        <v>2.5343375067769536</v>
      </c>
      <c r="AL27" s="28">
        <f>INDEX(LINEST(LN(AV27:AX27),LN(AV26:AX26),TRUE,TRUE),3,1)</f>
        <v>0.9999999983865413</v>
      </c>
      <c r="AM27" s="28">
        <f>INDEX(LINEST(LN(AV27:AX27),LN(AV26:AX26)),1)</f>
        <v>-0.13684843067023847</v>
      </c>
      <c r="AN27" s="28">
        <f>EXP(INDEX(LINEST(LN(AV27:AX27),LN(AV26:AX26)),1,2))</f>
        <v>7.2364313348111056</v>
      </c>
      <c r="AO27" s="47">
        <f>INDEX(LINEST((AV27:AX27),LN(AV26:AX26),TRUE,TRUE),3,1)</f>
        <v>0.99616443319401582</v>
      </c>
      <c r="AP27" s="47">
        <f>INDEX(LINEST((AV27:AX27),LN(AV26:AX26)),1)</f>
        <v>-0.27392581566916135</v>
      </c>
      <c r="AQ27" s="48">
        <f>INDEX(LINEST(LN(AV27:AX27),SQRT(AV26:AX26),TRUE,TRUE),3,1)</f>
        <v>0.89433650434760348</v>
      </c>
      <c r="AR27" s="56">
        <f>INDEX(LINEST(LN(AV27:AX27),SQRT((AV26:AX26))),1)</f>
        <v>-1.27308343190311E-3</v>
      </c>
      <c r="AS27" s="49">
        <f>INDEX(LINEST(1/(AV27:AX27),1/(SQRT(AV26:AX26)),TRUE,TRUE),3,1)</f>
        <v>0.95009247928899332</v>
      </c>
      <c r="AT27" s="49">
        <f>INDEX(LINEST(1/(AV27:AX27),1/SQRT(AV26:AX26)),1)</f>
        <v>-11.549376876272369</v>
      </c>
      <c r="AU27" s="3"/>
      <c r="AV27" s="25">
        <v>3.0322376367967703</v>
      </c>
      <c r="AW27" s="25">
        <v>1.3892627542894569</v>
      </c>
      <c r="AX27" s="25">
        <v>1.1703400975435354</v>
      </c>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1"/>
      <c r="CS27" s="1"/>
      <c r="CT27" s="1"/>
      <c r="CU27" s="1"/>
    </row>
    <row r="28" spans="1:99" s="9" customFormat="1" ht="12" customHeight="1" x14ac:dyDescent="0.2">
      <c r="A28" s="37">
        <v>43509</v>
      </c>
      <c r="B28" s="1"/>
      <c r="C28" s="1"/>
      <c r="D28" s="32"/>
      <c r="E28" s="41"/>
      <c r="F28" s="32"/>
      <c r="G28" s="32"/>
      <c r="H28" s="32"/>
      <c r="I28" s="32"/>
      <c r="J28" s="32"/>
      <c r="K28" s="36"/>
      <c r="L28" s="36"/>
      <c r="M28" s="32"/>
      <c r="N28" s="32"/>
      <c r="O28" s="32"/>
      <c r="P28" s="32"/>
      <c r="Q28" s="32"/>
      <c r="R28" s="32"/>
      <c r="S28" s="77"/>
      <c r="T28" s="32"/>
      <c r="U28" s="32"/>
      <c r="V28" s="32"/>
      <c r="W28" s="32"/>
      <c r="X28" s="32"/>
      <c r="Y28" s="41"/>
      <c r="Z28" s="32"/>
      <c r="AA28" s="32"/>
      <c r="AB28" s="32"/>
      <c r="AC28" s="32"/>
      <c r="AD28" s="32"/>
      <c r="AE28" s="32"/>
      <c r="AF28" s="45"/>
      <c r="AG28" s="28"/>
      <c r="AH28" s="4"/>
      <c r="AI28" s="28"/>
      <c r="AJ28" s="51"/>
      <c r="AK28" s="28"/>
      <c r="AL28" s="28"/>
      <c r="AM28" s="28"/>
      <c r="AN28" s="28"/>
      <c r="AO28" s="28"/>
      <c r="AP28" s="28"/>
      <c r="AQ28" s="47"/>
      <c r="AR28" s="55"/>
      <c r="AS28" s="47"/>
      <c r="AT28" s="47"/>
      <c r="AU28" s="4"/>
      <c r="AV28" s="18">
        <v>576</v>
      </c>
      <c r="AW28" s="18">
        <f>24*3600*2</f>
        <v>172800</v>
      </c>
      <c r="AX28" s="18">
        <f>24*3600*7</f>
        <v>604800</v>
      </c>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1"/>
      <c r="CS28" s="1"/>
      <c r="CT28" s="1"/>
      <c r="CU28" s="1"/>
    </row>
    <row r="29" spans="1:99" s="9" customFormat="1" ht="12" customHeight="1" x14ac:dyDescent="0.2">
      <c r="A29" s="37">
        <v>43509</v>
      </c>
      <c r="B29" s="1" t="s">
        <v>49</v>
      </c>
      <c r="C29" s="1" t="s">
        <v>33</v>
      </c>
      <c r="D29" s="32">
        <v>2001</v>
      </c>
      <c r="E29" s="41">
        <v>2</v>
      </c>
      <c r="F29" s="32">
        <v>72</v>
      </c>
      <c r="G29" s="32">
        <v>24</v>
      </c>
      <c r="H29" s="32" t="s">
        <v>14</v>
      </c>
      <c r="I29" s="32" t="s">
        <v>116</v>
      </c>
      <c r="J29" s="32" t="s">
        <v>12</v>
      </c>
      <c r="K29" s="32">
        <f>IF(J29="syllables",1,IF(J29="trigrams",2,IF(J29="strings",3,IF(J29="visual array",4,IF(J29="characters",5,IF(J29="letters",6,IF(J29="free forms",7,IF(J29="odors",8,IF(J29="words",9,IF(J29="pictures",10,IF(J29="object pictures",11,IF(J29="faces",12,IF(J29="names",13,IF(J29="idioms",14,IF(J29="grades",15,IF(J29="syllable-digit pairs",16,IF(J29="trigram-word pairs",17,IF(J29="word-digit pairs",18,IF(J29="English-Swahili pairs",19,IF(J29="spatial position",20,IF(J29="word pairs",21,IF(J29="word triads",22,IF(J29="generated words",23,IF(J29="word definition pairs",24,IF(J29="math problems",25,IF(J29="famous faces",26,IF(J29="famous names",27,IF(J29="famous voices",28,IF(J29="television programs",29,IF(J29="race horses",30,IF(J29="new vocabulary",31,IF(J29="sentences",32,IF(J29="concepts",33,IF(J29="ad slides",34,IF(J29="scenes",35,IF(J29="famous scenes",36,IF(J29="poems",37,IF(J29="walk",38,IF(J29="faces and events",39,IF(J29="events and names",40,IF(J29="flashbulb",41,IF(J29="stories",42,IF(J29="course material",43,IF(J29="autobiographical",44,IF(J29="novels",45,IF(J29="public events",46,"99"))))))))))))))))))))))))))))))))))))))))))))))</f>
        <v>9</v>
      </c>
      <c r="L29" s="32">
        <f>IF(J29="syllables",1,IF(J29="trigrams",1,IF(J29="strings",1,IF(J29="visual array",1,IF(J29="characters",1,IF(J29="letters",1,IF(J29="free forms",1,IF(J29="odors",2,IF(J29="words",2,IF(J29="pictures",2,IF(J29="object pictures",2,IF(J29="faces",2,IF(J29="names",2,IF(J29="idioms","2",IF(J29="grades",2,IF(J29="syllable-digit pairs",3,IF(J29="trigram-word pairs",3,IF(J29="word-digit pairs",3,IF(J29="English-Swahili pairs",3,IF(J29="spatial position",3,IF(J29="word pairs",4,IF(J29="word triads",4,IF(J29="generated words",4,IF(J29="word definition pairs",4,IF(J29="math problems",4,IF(J29="famous faces",4,IF(J29="famous names",4,IF(J29="famous voices",4,IF(J29="television programs",4,IF(J29="race horses",4,IF(J29="new vocabulary",4,IF(J29="sentences",5,IF(J29="concepts",5,IF(J29="ad slides",5,IF(J29="scenes",5,IF(J29="famous scenes",5,IF(J29="poems",6,IF(J29="walk",6,IF(J29="faces and events",6,IF(J29="events and names",6,IF(J29="flashbulb",7,IF(J29="stories",7,IF(J29="course material",7,IF(J29="autobiographical",7,IF(J29="novels",7,IF(J29="public events",7,"99"))))))))))))))))))))))))))))))))))))))))))))))</f>
        <v>2</v>
      </c>
      <c r="M29" s="32">
        <v>0</v>
      </c>
      <c r="N29" s="32">
        <v>1</v>
      </c>
      <c r="O29" s="32">
        <v>0</v>
      </c>
      <c r="P29" s="32"/>
      <c r="Q29" s="32" t="s">
        <v>18</v>
      </c>
      <c r="R29" s="32">
        <f>IF(Q29="Free Recall",1,IF(Q29="Cued Recall",2,IF(Q29="Recognition",3,IF(Q29="Multiple Choice",4,IF(Q29="Savings",5,IF(Q29="Stem Completion",6,IF(Q29="Fragment Completion",7,IF(Q29="anagram solution",8,IF(Q29="Matching",9,IF(Q29="Problem Solving",10,"99"))))))))))</f>
        <v>3</v>
      </c>
      <c r="S29" s="77" t="s">
        <v>196</v>
      </c>
      <c r="T29" s="32" t="s">
        <v>72</v>
      </c>
      <c r="U29" s="32">
        <f>IF(T29="within",1,0)</f>
        <v>0</v>
      </c>
      <c r="V29" s="32">
        <v>288</v>
      </c>
      <c r="W29" s="32">
        <f>F29*V29</f>
        <v>20736</v>
      </c>
      <c r="X29" s="32">
        <v>3</v>
      </c>
      <c r="Y29" s="41">
        <f>AV28</f>
        <v>576</v>
      </c>
      <c r="Z29" s="32" t="s">
        <v>41</v>
      </c>
      <c r="AA29" s="32">
        <v>604800</v>
      </c>
      <c r="AB29" s="32" t="str">
        <f>IF(AA29&lt;60,"1",IF(AA29&lt;=43200,"2",IF(AA29&lt;=777600,"3","4")))</f>
        <v>3</v>
      </c>
      <c r="AC29" s="28">
        <f>AVERAGE(AV28:DA28)</f>
        <v>259392</v>
      </c>
      <c r="AD29" s="32" t="str">
        <f>IF(AC29&lt;60,"1",IF(AC29&lt;=43200,"2",IF(AC29&lt;=777600,"3","4")))</f>
        <v>3</v>
      </c>
      <c r="AE29" s="41">
        <f>AA29-Y29</f>
        <v>604224</v>
      </c>
      <c r="AF29" s="45">
        <f>AV29</f>
        <v>1.5487925921103185</v>
      </c>
      <c r="AG29" s="28">
        <f>((AW29-AV29)+(AX29-AW29))/2</f>
        <v>-0.43828403999100185</v>
      </c>
      <c r="AH29" s="4"/>
      <c r="AI29" s="28">
        <f>RSQ(AV29:AX29,AV28:AX28)</f>
        <v>0.48060844551595716</v>
      </c>
      <c r="AJ29" s="51">
        <f>SLOPE(AV29:AX29,AV28:AX28)</f>
        <v>-1.1531669233922408E-6</v>
      </c>
      <c r="AK29" s="28">
        <f>INTERCEPT(AV29:AX29,AV28:AX28)</f>
        <v>1.2504596729174211</v>
      </c>
      <c r="AL29" s="28">
        <f>INDEX(LINEST(LN(AV29:AX29),LN(AV28:AX28),TRUE,TRUE),3,1)</f>
        <v>0.94807531256110089</v>
      </c>
      <c r="AM29" s="28">
        <f>INDEX(LINEST(LN(AV29:AX29),LN(AV28:AX28)),1)</f>
        <v>-0.13133275041199524</v>
      </c>
      <c r="AN29" s="28">
        <f>EXP(INDEX(LINEST(LN(AV29:AX29),LN(AV28:AX28)),1,2))</f>
        <v>3.4903791790800467</v>
      </c>
      <c r="AO29" s="47">
        <f>INDEX(LINEST((AV29:AX29),LN(AV28:AX28),TRUE,TRUE),3,1)</f>
        <v>0.95750507279464359</v>
      </c>
      <c r="AP29" s="47">
        <f>INDEX(LINEST((AV29:AX29),LN(AV28:AX28)),1)</f>
        <v>-0.13663983869456767</v>
      </c>
      <c r="AQ29" s="48">
        <f>INDEX(LINEST(LN(AV29:AX29),SQRT(AV28:AX28),TRUE,TRUE),3,1)</f>
        <v>0.71693710807450195</v>
      </c>
      <c r="AR29" s="56">
        <f>INDEX(LINEST(LN(AV29:AX29),SQRT((AV28:AX28))),1)</f>
        <v>-1.1234628497298312E-3</v>
      </c>
      <c r="AS29" s="49">
        <f>INDEX(LINEST(1/(AV29:AX29),1/(SQRT(AV28:AX28)),TRUE,TRUE),3,1)</f>
        <v>0.98705679046040895</v>
      </c>
      <c r="AT29" s="49">
        <f>INDEX(LINEST(1/(AV29:AX29),1/SQRT(AV28:AX28)),1)</f>
        <v>-22.238582587373347</v>
      </c>
      <c r="AU29" s="3"/>
      <c r="AV29" s="25">
        <v>1.5487925921103185</v>
      </c>
      <c r="AW29" s="25">
        <v>0.63299509073594995</v>
      </c>
      <c r="AX29" s="25">
        <v>0.6722245121283148</v>
      </c>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1"/>
      <c r="CS29" s="1"/>
      <c r="CT29" s="1"/>
      <c r="CU29" s="1"/>
    </row>
    <row r="30" spans="1:99" s="9" customFormat="1" ht="12" customHeight="1" x14ac:dyDescent="0.2">
      <c r="A30" s="37">
        <v>43509</v>
      </c>
      <c r="B30" s="1"/>
      <c r="C30" s="1"/>
      <c r="D30" s="32"/>
      <c r="E30" s="41"/>
      <c r="F30" s="32"/>
      <c r="G30" s="32"/>
      <c r="H30" s="32"/>
      <c r="I30" s="32"/>
      <c r="J30" s="32"/>
      <c r="K30" s="36"/>
      <c r="L30" s="36"/>
      <c r="M30" s="32"/>
      <c r="N30" s="32"/>
      <c r="O30" s="32"/>
      <c r="P30" s="32"/>
      <c r="Q30" s="32"/>
      <c r="R30" s="32"/>
      <c r="S30" s="77"/>
      <c r="T30" s="32"/>
      <c r="U30" s="32"/>
      <c r="V30" s="32"/>
      <c r="W30" s="32"/>
      <c r="X30" s="32"/>
      <c r="Y30" s="41"/>
      <c r="Z30" s="32"/>
      <c r="AA30" s="32"/>
      <c r="AB30" s="32"/>
      <c r="AC30" s="32"/>
      <c r="AD30" s="32"/>
      <c r="AE30" s="32"/>
      <c r="AF30" s="45"/>
      <c r="AG30" s="28"/>
      <c r="AH30" s="4"/>
      <c r="AI30" s="28"/>
      <c r="AJ30" s="51"/>
      <c r="AK30" s="28"/>
      <c r="AL30" s="28"/>
      <c r="AM30" s="28"/>
      <c r="AN30" s="28"/>
      <c r="AO30" s="28"/>
      <c r="AP30" s="28"/>
      <c r="AQ30" s="47"/>
      <c r="AR30" s="55"/>
      <c r="AS30" s="47"/>
      <c r="AT30" s="47"/>
      <c r="AU30" s="4"/>
      <c r="AV30" s="18">
        <v>576</v>
      </c>
      <c r="AW30" s="18">
        <f>24*3600*2</f>
        <v>172800</v>
      </c>
      <c r="AX30" s="18">
        <f>24*3600*7</f>
        <v>604800</v>
      </c>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1"/>
      <c r="CS30" s="1"/>
      <c r="CT30" s="1"/>
      <c r="CU30" s="1"/>
    </row>
    <row r="31" spans="1:99" s="9" customFormat="1" ht="12" customHeight="1" x14ac:dyDescent="0.2">
      <c r="A31" s="37">
        <v>43509</v>
      </c>
      <c r="B31" s="1" t="s">
        <v>49</v>
      </c>
      <c r="C31" s="1" t="s">
        <v>33</v>
      </c>
      <c r="D31" s="32">
        <v>2001</v>
      </c>
      <c r="E31" s="41">
        <v>2</v>
      </c>
      <c r="F31" s="32">
        <v>72</v>
      </c>
      <c r="G31" s="32">
        <v>24</v>
      </c>
      <c r="H31" s="32" t="s">
        <v>14</v>
      </c>
      <c r="I31" s="32" t="s">
        <v>156</v>
      </c>
      <c r="J31" s="32" t="s">
        <v>12</v>
      </c>
      <c r="K31" s="32">
        <f>IF(J31="syllables",1,IF(J31="trigrams",2,IF(J31="strings",3,IF(J31="visual array",4,IF(J31="characters",5,IF(J31="letters",6,IF(J31="free forms",7,IF(J31="odors",8,IF(J31="words",9,IF(J31="pictures",10,IF(J31="object pictures",11,IF(J31="faces",12,IF(J31="names",13,IF(J31="idioms",14,IF(J31="grades",15,IF(J31="syllable-digit pairs",16,IF(J31="trigram-word pairs",17,IF(J31="word-digit pairs",18,IF(J31="English-Swahili pairs",19,IF(J31="spatial position",20,IF(J31="word pairs",21,IF(J31="word triads",22,IF(J31="generated words",23,IF(J31="word definition pairs",24,IF(J31="math problems",25,IF(J31="famous faces",26,IF(J31="famous names",27,IF(J31="famous voices",28,IF(J31="television programs",29,IF(J31="race horses",30,IF(J31="new vocabulary",31,IF(J31="sentences",32,IF(J31="concepts",33,IF(J31="ad slides",34,IF(J31="scenes",35,IF(J31="famous scenes",36,IF(J31="poems",37,IF(J31="walk",38,IF(J31="faces and events",39,IF(J31="events and names",40,IF(J31="flashbulb",41,IF(J31="stories",42,IF(J31="course material",43,IF(J31="autobiographical",44,IF(J31="novels",45,IF(J31="public events",46,"99"))))))))))))))))))))))))))))))))))))))))))))))</f>
        <v>9</v>
      </c>
      <c r="L31" s="32">
        <f>IF(J31="syllables",1,IF(J31="trigrams",1,IF(J31="strings",1,IF(J31="visual array",1,IF(J31="characters",1,IF(J31="letters",1,IF(J31="free forms",1,IF(J31="odors",2,IF(J31="words",2,IF(J31="pictures",2,IF(J31="object pictures",2,IF(J31="faces",2,IF(J31="names",2,IF(J31="idioms","2",IF(J31="grades",2,IF(J31="syllable-digit pairs",3,IF(J31="trigram-word pairs",3,IF(J31="word-digit pairs",3,IF(J31="English-Swahili pairs",3,IF(J31="spatial position",3,IF(J31="word pairs",4,IF(J31="word triads",4,IF(J31="generated words",4,IF(J31="word definition pairs",4,IF(J31="math problems",4,IF(J31="famous faces",4,IF(J31="famous names",4,IF(J31="famous voices",4,IF(J31="television programs",4,IF(J31="race horses",4,IF(J31="new vocabulary",4,IF(J31="sentences",5,IF(J31="concepts",5,IF(J31="ad slides",5,IF(J31="scenes",5,IF(J31="famous scenes",5,IF(J31="poems",6,IF(J31="walk",6,IF(J31="faces and events",6,IF(J31="events and names",6,IF(J31="flashbulb",7,IF(J31="stories",7,IF(J31="course material",7,IF(J31="autobiographical",7,IF(J31="novels",7,IF(J31="public events",7,"99"))))))))))))))))))))))))))))))))))))))))))))))</f>
        <v>2</v>
      </c>
      <c r="M31" s="32">
        <v>0</v>
      </c>
      <c r="N31" s="32">
        <v>1</v>
      </c>
      <c r="O31" s="32">
        <v>0</v>
      </c>
      <c r="P31" s="32"/>
      <c r="Q31" s="32" t="s">
        <v>18</v>
      </c>
      <c r="R31" s="32">
        <f>IF(Q31="Free Recall",1,IF(Q31="Cued Recall",2,IF(Q31="Recognition",3,IF(Q31="Multiple Choice",4,IF(Q31="Savings",5,IF(Q31="Stem Completion",6,IF(Q31="Fragment Completion",7,IF(Q31="anagram solution",8,IF(Q31="Matching",9,IF(Q31="Problem Solving",10,"99"))))))))))</f>
        <v>3</v>
      </c>
      <c r="S31" s="77" t="s">
        <v>196</v>
      </c>
      <c r="T31" s="32" t="s">
        <v>72</v>
      </c>
      <c r="U31" s="32">
        <f>IF(T31="within",1,0)</f>
        <v>0</v>
      </c>
      <c r="V31" s="32">
        <v>288</v>
      </c>
      <c r="W31" s="32">
        <f>F31*V31</f>
        <v>20736</v>
      </c>
      <c r="X31" s="32">
        <v>3</v>
      </c>
      <c r="Y31" s="41">
        <f>AV30</f>
        <v>576</v>
      </c>
      <c r="Z31" s="32" t="s">
        <v>41</v>
      </c>
      <c r="AA31" s="32">
        <v>604800</v>
      </c>
      <c r="AB31" s="32" t="str">
        <f>IF(AA31&lt;60,"1",IF(AA31&lt;=43200,"2",IF(AA31&lt;=777600,"3","4")))</f>
        <v>3</v>
      </c>
      <c r="AC31" s="28">
        <f>AVERAGE(AV30:DA30)</f>
        <v>259392</v>
      </c>
      <c r="AD31" s="32" t="str">
        <f>IF(AC31&lt;60,"1",IF(AC31&lt;=43200,"2",IF(AC31&lt;=777600,"3","4")))</f>
        <v>3</v>
      </c>
      <c r="AE31" s="41">
        <f>AA31-Y31</f>
        <v>604224</v>
      </c>
      <c r="AF31" s="45">
        <f>AV31</f>
        <v>1.3382229418107645</v>
      </c>
      <c r="AG31" s="28">
        <f>((AW31-AV31)+(AX31-AW31))/2</f>
        <v>-0.42118629723165546</v>
      </c>
      <c r="AH31" s="4"/>
      <c r="AI31" s="28">
        <f>RSQ(AV31:AX31,AV30:AX30)</f>
        <v>0.61157243794703697</v>
      </c>
      <c r="AJ31" s="51">
        <f>SLOPE(AV31:AX31,AV30:AX30)</f>
        <v>-1.1638968245435149E-6</v>
      </c>
      <c r="AK31" s="28">
        <f>INTERCEPT(AV31:AX31,AV30:AX30)</f>
        <v>1.1075437905884695</v>
      </c>
      <c r="AL31" s="28">
        <f>INDEX(LINEST(LN(AV31:AX31),LN(AV30:AX30),TRUE,TRUE),3,1)</f>
        <v>0.99969598315238284</v>
      </c>
      <c r="AM31" s="28">
        <f>INDEX(LINEST(LN(AV31:AX31),LN(AV30:AX30)),1)</f>
        <v>-0.14364326742087472</v>
      </c>
      <c r="AN31" s="28">
        <f>EXP(INDEX(LINEST(LN(AV31:AX31),LN(AV30:AX30)),1,2))</f>
        <v>3.3285702291439874</v>
      </c>
      <c r="AO31" s="47">
        <f>INDEX(LINEST((AV31:AX31),LN(AV30:AX30),TRUE,TRUE),3,1)</f>
        <v>0.99427811656421505</v>
      </c>
      <c r="AP31" s="47">
        <f>INDEX(LINEST((AV31:AX31),LN(AV30:AX30)),1)</f>
        <v>-0.12458185483735776</v>
      </c>
      <c r="AQ31" s="48">
        <f>INDEX(LINEST(LN(AV31:AX31),SQRT(AV30:AX30),TRUE,TRUE),3,1)</f>
        <v>0.88335265159697651</v>
      </c>
      <c r="AR31" s="56">
        <f>INDEX(LINEST(LN(AV31:AX31),SQRT((AV30:AX30))),1)</f>
        <v>-1.3282656018195446E-3</v>
      </c>
      <c r="AS31" s="49">
        <f>INDEX(LINEST(1/(AV31:AX31),1/(SQRT(AV30:AX30)),TRUE,TRUE),3,1)</f>
        <v>0.95874698004711245</v>
      </c>
      <c r="AT31" s="49">
        <f>INDEX(LINEST(1/(AV31:AX31),1/SQRT(AV30:AX30)),1)</f>
        <v>-28.242853391482328</v>
      </c>
      <c r="AU31" s="3"/>
      <c r="AV31" s="25">
        <v>1.3382229418107645</v>
      </c>
      <c r="AW31" s="25">
        <v>0.58284150727121631</v>
      </c>
      <c r="AX31" s="25">
        <v>0.49585034734745354</v>
      </c>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1"/>
      <c r="CS31" s="1"/>
      <c r="CT31" s="1"/>
      <c r="CU31" s="1"/>
    </row>
    <row r="32" spans="1:99" s="60" customFormat="1" ht="12" customHeight="1" x14ac:dyDescent="0.2">
      <c r="A32" s="94">
        <v>43509</v>
      </c>
      <c r="B32" s="101"/>
      <c r="C32" s="101"/>
      <c r="D32" s="77"/>
      <c r="E32" s="98"/>
      <c r="F32" s="77"/>
      <c r="G32" s="77"/>
      <c r="H32" s="77"/>
      <c r="I32" s="77"/>
      <c r="J32" s="77"/>
      <c r="K32" s="102"/>
      <c r="L32" s="102"/>
      <c r="M32" s="77"/>
      <c r="N32" s="77"/>
      <c r="O32" s="77"/>
      <c r="P32" s="77"/>
      <c r="Q32" s="77"/>
      <c r="R32" s="77"/>
      <c r="S32" s="77"/>
      <c r="T32" s="96"/>
      <c r="U32" s="32"/>
      <c r="V32" s="77"/>
      <c r="W32" s="77"/>
      <c r="X32" s="77"/>
      <c r="Y32" s="98"/>
      <c r="Z32" s="77"/>
      <c r="AA32" s="77"/>
      <c r="AB32" s="77"/>
      <c r="AC32" s="77"/>
      <c r="AD32" s="77"/>
      <c r="AE32" s="77"/>
      <c r="AF32" s="99"/>
      <c r="AG32" s="100"/>
      <c r="AH32" s="84"/>
      <c r="AI32" s="100"/>
      <c r="AJ32" s="105"/>
      <c r="AK32" s="100"/>
      <c r="AL32" s="100"/>
      <c r="AM32" s="100"/>
      <c r="AN32" s="100"/>
      <c r="AO32" s="100"/>
      <c r="AP32" s="100"/>
      <c r="AQ32" s="100"/>
      <c r="AR32" s="105"/>
      <c r="AS32" s="100"/>
      <c r="AT32" s="100"/>
      <c r="AU32" s="62"/>
      <c r="AV32" s="64">
        <f>3600*0.08</f>
        <v>288</v>
      </c>
      <c r="AW32" s="64">
        <f>3600*0.15</f>
        <v>540</v>
      </c>
      <c r="AX32" s="64">
        <f>3600*0.2</f>
        <v>720</v>
      </c>
      <c r="AY32" s="64">
        <f>3600*0.37</f>
        <v>1332</v>
      </c>
      <c r="AZ32" s="64">
        <f>3600*0.43</f>
        <v>1548</v>
      </c>
      <c r="BA32" s="64">
        <f>3600*0.5</f>
        <v>1800</v>
      </c>
      <c r="BB32" s="64">
        <f>3600*0.57</f>
        <v>2052</v>
      </c>
      <c r="BC32" s="64">
        <f>3600*2</f>
        <v>7200</v>
      </c>
      <c r="BD32" s="64">
        <f>3600*3</f>
        <v>10800</v>
      </c>
      <c r="BE32" s="64">
        <f>3600*4</f>
        <v>14400</v>
      </c>
      <c r="BF32" s="64">
        <f>3600*5</f>
        <v>18000</v>
      </c>
      <c r="BG32" s="64">
        <f>3600*7</f>
        <v>25200</v>
      </c>
      <c r="BH32" s="64">
        <f>3600*10</f>
        <v>36000</v>
      </c>
      <c r="BI32" s="64">
        <f>3600*12</f>
        <v>43200</v>
      </c>
      <c r="BJ32" s="64">
        <f>3600*14</f>
        <v>50400</v>
      </c>
      <c r="BK32" s="65"/>
      <c r="BL32" s="61"/>
      <c r="BM32" s="61"/>
      <c r="BN32" s="61"/>
      <c r="BO32" s="61"/>
      <c r="BP32" s="61"/>
      <c r="BQ32" s="61"/>
      <c r="BR32" s="61"/>
      <c r="BS32" s="61"/>
      <c r="BT32" s="61"/>
      <c r="BU32" s="61"/>
      <c r="BV32" s="61"/>
      <c r="BW32" s="61"/>
      <c r="BX32" s="61"/>
      <c r="BY32" s="61"/>
      <c r="BZ32" s="61"/>
      <c r="CA32" s="61"/>
      <c r="CB32" s="61"/>
      <c r="CC32" s="61"/>
      <c r="CD32" s="61"/>
      <c r="CE32" s="61"/>
      <c r="CF32" s="61"/>
      <c r="CG32" s="61"/>
      <c r="CH32" s="61"/>
      <c r="CI32" s="61"/>
      <c r="CJ32" s="61"/>
      <c r="CK32" s="61"/>
      <c r="CL32" s="61"/>
      <c r="CM32" s="61"/>
      <c r="CN32" s="61"/>
      <c r="CO32" s="61"/>
      <c r="CP32" s="61"/>
      <c r="CQ32" s="61"/>
      <c r="CR32" s="59"/>
      <c r="CS32" s="59"/>
      <c r="CT32" s="59"/>
      <c r="CU32" s="59"/>
    </row>
    <row r="33" spans="1:99" s="60" customFormat="1" ht="12" customHeight="1" x14ac:dyDescent="0.2">
      <c r="A33" s="94">
        <v>43509</v>
      </c>
      <c r="B33" s="101" t="s">
        <v>203</v>
      </c>
      <c r="C33" s="101" t="s">
        <v>204</v>
      </c>
      <c r="D33" s="77">
        <v>1972</v>
      </c>
      <c r="E33" s="98">
        <v>1</v>
      </c>
      <c r="F33" s="77">
        <v>6</v>
      </c>
      <c r="G33" s="77">
        <v>6</v>
      </c>
      <c r="H33" s="77" t="s">
        <v>150</v>
      </c>
      <c r="I33" s="77" t="s">
        <v>209</v>
      </c>
      <c r="J33" s="77" t="s">
        <v>84</v>
      </c>
      <c r="K33" s="77" t="str">
        <f>IF(J33="syllables","1",IF(J33="trigrams","2",IF(J33="strings","3",IF(J33="visual array","4",IF(J33="characters","5",IF(J33="letters","6",IF(J33="free forms","7",IF(J33="odors","8",IF(J33="words","9",IF(J33="pictures","10",IF(J33="object pictures","11",IF(J33="faces","12",IF(J33="names","13",IF(J33="idioms","14",IF(J33="grades","15",IF(J33="syllable-digit pairs","16",IF(J33="trigram-word pairs","17",IF(J33="word-digit pairs","18",IF(J33="English-Swahili pairs","19",IF(J33="spatial position","20",IF(J33="word pairs","21",IF(J33="word triads","22",IF(J33="generated words","23",IF(J33="word definition pairs","24",IF(J33="math problems","25",IF(J33="famous faces","26",IF(J33="famous names","27",IF(J33="famous voices","28",IF(J33="television programs","29",IF(J33="race horses","30",IF(J33="new vocabulary","31",IF(J33="sentences","32",IF(J33="concepts","33",IF(J33="ad slides","34",IF(J33="scenes","35",IF(J33="famous scenes","36",IF(J33="poems","37",IF(J33="walk","38",IF(J33="faces and events","39",IF(J33="events and names","40",IF(J33="flashbulb","41",IF(J33="stories","42",IF(J33="course material","43",IF(J33="autobiographical","44",IF(J33="novels","45",IF(J33="public events","46",IF(J33="order","90","99")))))))))))))))))))))))))))))))))))))))))))))))</f>
        <v>21</v>
      </c>
      <c r="L33" s="77" t="str">
        <f>IF(J33="syllables","1",IF(J33="trigrams","1",IF(J33="strings","1",IF(J33="visual array","1",IF(J33="characters","1",IF(J33="letters","1",IF(J33="free forms","1",IF(J33="odors","2",IF(J33="words","2",IF(J33="pictures","2",IF(J33="object pictures","2",IF(J33="faces","2",IF(J33="names","2",IF(J33="idioms","2",IF(J33="grades","2",IF(J33="syllable-digit pairs","3",IF(J33="trigram-word pairs","3",IF(J33="word-digit pairs","3",IF(J33="English-Swahili pairs","3",IF(J33="spatial position","3",IF(J33="word pairs","4",IF(J33="word triads","4",IF(J33="generated words","4",IF(J33="word definition pairs","4",IF(J33="math problems","4",IF(J33="famous faces","4",IF(J33="famous names","4",IF(J33="famous voices","4",IF(J33="television programs","4",IF(J33="race horses","4",IF(J33="new vocabulary","4",IF(J33="sentences","5",IF(J33="concepts","5",IF(J33="ad slides","5",IF(J33="scenes","5",IF(J33="famous scenes","5",IF(J33="poems","6",IF(J33="walk","6",IF(J33="faces and events","6",IF(J33="events and names","6",IF(J33="flashbulb","7",IF(J33="stories","7",IF(J33="course material","7",IF(J33="autobiographical","7",IF(J33="novels","7",IF(J33="public events","7",IF(J33="order","90","99")))))))))))))))))))))))))))))))))))))))))))))))</f>
        <v>4</v>
      </c>
      <c r="M33" s="77" t="s">
        <v>195</v>
      </c>
      <c r="N33" s="77">
        <v>1</v>
      </c>
      <c r="O33" s="77" t="s">
        <v>195</v>
      </c>
      <c r="P33" s="77"/>
      <c r="Q33" s="77" t="s">
        <v>18</v>
      </c>
      <c r="R33" s="77" t="str">
        <f>IF(Q33="Free Recall","1",IF(Q33="Cued Recall","2",IF(Q33="Recognition","3",IF(Q33="Multiple Choice","4",IF(Q33="Savings","5",IF(Q33="Stem Completion","6",IF(Q33="Fragment Completion","7",IF(Q33="anagram solution","8",IF(Q33="Matching","9",IF(Q33="Problem Solving","10","99"))))))))))</f>
        <v>3</v>
      </c>
      <c r="S33" s="77" t="s">
        <v>196</v>
      </c>
      <c r="T33" s="96" t="s">
        <v>132</v>
      </c>
      <c r="U33" s="32">
        <f>IF(T33="within",1,0)</f>
        <v>1</v>
      </c>
      <c r="V33" s="96">
        <v>400</v>
      </c>
      <c r="W33" s="77">
        <f>F33*V33</f>
        <v>2400</v>
      </c>
      <c r="X33" s="77">
        <v>15</v>
      </c>
      <c r="Y33" s="98">
        <f>AV32</f>
        <v>288</v>
      </c>
      <c r="Z33" s="77" t="s">
        <v>224</v>
      </c>
      <c r="AA33" s="77">
        <v>50400</v>
      </c>
      <c r="AB33" s="77" t="str">
        <f>IF(AA33&lt;60,"1",IF(AA33&lt;=43200,"2",IF(AA33&lt;=777600,"3","4")))</f>
        <v>3</v>
      </c>
      <c r="AC33" s="100">
        <f>AVERAGE(AV32:DA32)</f>
        <v>14232</v>
      </c>
      <c r="AD33" s="77" t="str">
        <f>IF(AC33&lt;60,"1",IF(AC33&lt;=43200,"2",IF(AC33&lt;=777600,"3","4")))</f>
        <v>2</v>
      </c>
      <c r="AE33" s="98">
        <f>AA33-Y33</f>
        <v>50112</v>
      </c>
      <c r="AF33" s="99">
        <f>AV33</f>
        <v>2.69</v>
      </c>
      <c r="AG33" s="100">
        <f>((AW33-AV33)+(AX33-AW33)+(AY33-AX33)+(AZ33-AY33)+(BA33-AZ33)+(BB33-BA33)+(BC33-BB33)+(BD33-BC33)+(BE33-BD33)+(BF33-BE33)+(BG33-BF33)+(BH33-BG33)+(BI33-BH33)+(BJ33-BI33))/14</f>
        <v>-0.14357142857142854</v>
      </c>
      <c r="AH33" s="84"/>
      <c r="AI33" s="100">
        <f>RSQ(AV33:BJ33,AV32:BJ32)</f>
        <v>0.74696825554870194</v>
      </c>
      <c r="AJ33" s="105">
        <f>SLOPE(AV33:BJ33,AV32:BJ32)</f>
        <v>-3.1294671546468128E-5</v>
      </c>
      <c r="AK33" s="100">
        <f>INTERCEPT(AV33:BJ33,AV32:BJ32)</f>
        <v>2.1340524321160008</v>
      </c>
      <c r="AL33" s="100">
        <f>INDEX(LINEST(LN(AV33:BJ33),LN(AV32:BJ32),TRUE,TRUE),3,1)</f>
        <v>0.84674711949587789</v>
      </c>
      <c r="AM33" s="100">
        <f>INDEX(LINEST(LN(AV33:BJ33),LN(AV32:BJ32)),1)</f>
        <v>-0.21069510442248982</v>
      </c>
      <c r="AN33" s="100">
        <f>EXP(INDEX(LINEST(LN(AV33:BJ33),LN(AV32:BJ32)),1,2))</f>
        <v>9.5047984266267669</v>
      </c>
      <c r="AO33" s="104">
        <f>INDEX(LINEST((AV33:BJ33),LN(AV32:BJ32),TRUE,TRUE),3,1)</f>
        <v>0.8876280539858179</v>
      </c>
      <c r="AP33" s="104">
        <f>INDEX(LINEST((AV33:BJ33),LN(AV32:BJ32)),1)</f>
        <v>-0.33418211703619499</v>
      </c>
      <c r="AQ33" s="48">
        <f>INDEX(LINEST(LN(AV33:BJ33),SQRT(AV32:BJ32),TRUE,TRUE),3,1)</f>
        <v>0.89688189972724675</v>
      </c>
      <c r="AR33" s="56">
        <f>INDEX(LINEST(LN(AV33:BJ33),SQRT((AV32:BJ32))),1)</f>
        <v>-5.2081684734582153E-3</v>
      </c>
      <c r="AS33" s="49">
        <f>INDEX(LINEST(1/(AV33:BJ33),1/(SQRT(AV32:BJ32)),TRUE,TRUE),3,1)</f>
        <v>0.52526740661356974</v>
      </c>
      <c r="AT33" s="49">
        <f>INDEX(LINEST(1/(AV33:BJ33),1/SQRT(AV32:BJ32)),1)</f>
        <v>-13.171961489125843</v>
      </c>
      <c r="AU33" s="63"/>
      <c r="AV33" s="65">
        <v>2.69</v>
      </c>
      <c r="AW33" s="65">
        <v>2.67</v>
      </c>
      <c r="AX33" s="65">
        <v>2.36</v>
      </c>
      <c r="AY33" s="65">
        <v>1.69</v>
      </c>
      <c r="AZ33" s="65">
        <v>2.23</v>
      </c>
      <c r="BA33" s="65">
        <v>1.79</v>
      </c>
      <c r="BB33" s="65">
        <v>1.84</v>
      </c>
      <c r="BC33" s="65">
        <v>1.91</v>
      </c>
      <c r="BD33" s="65">
        <v>1.52</v>
      </c>
      <c r="BE33" s="65">
        <v>1.48</v>
      </c>
      <c r="BF33" s="65">
        <v>1.18</v>
      </c>
      <c r="BG33" s="65">
        <v>1.31</v>
      </c>
      <c r="BH33" s="65">
        <v>1</v>
      </c>
      <c r="BI33" s="65">
        <v>0.98</v>
      </c>
      <c r="BJ33" s="65">
        <v>0.68</v>
      </c>
      <c r="BK33" s="65"/>
      <c r="BL33" s="61"/>
      <c r="BM33" s="61"/>
      <c r="BN33" s="61"/>
      <c r="BO33" s="61"/>
      <c r="BP33" s="61"/>
      <c r="BQ33" s="61"/>
      <c r="BR33" s="61"/>
      <c r="BS33" s="61"/>
      <c r="BT33" s="61"/>
      <c r="BU33" s="61"/>
      <c r="BV33" s="61"/>
      <c r="BW33" s="61"/>
      <c r="BX33" s="61"/>
      <c r="BY33" s="61"/>
      <c r="BZ33" s="61"/>
      <c r="CA33" s="61"/>
      <c r="CB33" s="61"/>
      <c r="CC33" s="61"/>
      <c r="CD33" s="61"/>
      <c r="CE33" s="61"/>
      <c r="CF33" s="61"/>
      <c r="CG33" s="61"/>
      <c r="CH33" s="61"/>
      <c r="CI33" s="61"/>
      <c r="CJ33" s="61"/>
      <c r="CK33" s="61"/>
      <c r="CL33" s="61"/>
      <c r="CM33" s="61"/>
      <c r="CN33" s="61"/>
      <c r="CO33" s="61"/>
      <c r="CP33" s="61"/>
      <c r="CQ33" s="61"/>
      <c r="CR33" s="59"/>
      <c r="CS33" s="59"/>
      <c r="CT33" s="59"/>
      <c r="CU33" s="59"/>
    </row>
    <row r="34" spans="1:99" s="60" customFormat="1" ht="12" customHeight="1" x14ac:dyDescent="0.2">
      <c r="A34" s="94">
        <v>43509</v>
      </c>
      <c r="B34" s="101"/>
      <c r="C34" s="101"/>
      <c r="D34" s="77"/>
      <c r="E34" s="98"/>
      <c r="F34" s="77"/>
      <c r="G34" s="77"/>
      <c r="H34" s="77"/>
      <c r="I34" s="77"/>
      <c r="J34" s="77"/>
      <c r="K34" s="102"/>
      <c r="L34" s="102"/>
      <c r="M34" s="77"/>
      <c r="N34" s="77"/>
      <c r="O34" s="77"/>
      <c r="P34" s="77"/>
      <c r="Q34" s="77"/>
      <c r="R34" s="77"/>
      <c r="S34" s="77"/>
      <c r="T34" s="96"/>
      <c r="U34" s="32"/>
      <c r="V34" s="77"/>
      <c r="W34" s="77"/>
      <c r="X34" s="77"/>
      <c r="Y34" s="98"/>
      <c r="Z34" s="77"/>
      <c r="AA34" s="77"/>
      <c r="AB34" s="77"/>
      <c r="AC34" s="77"/>
      <c r="AD34" s="77"/>
      <c r="AE34" s="77"/>
      <c r="AF34" s="99"/>
      <c r="AG34" s="100"/>
      <c r="AH34" s="84"/>
      <c r="AI34" s="100"/>
      <c r="AJ34" s="105"/>
      <c r="AK34" s="100"/>
      <c r="AL34" s="100"/>
      <c r="AM34" s="100"/>
      <c r="AN34" s="100"/>
      <c r="AO34" s="100"/>
      <c r="AP34" s="100"/>
      <c r="AQ34" s="100"/>
      <c r="AR34" s="105"/>
      <c r="AS34" s="100"/>
      <c r="AT34" s="100"/>
      <c r="AU34" s="62"/>
      <c r="AV34" s="64">
        <f>3600*0.08</f>
        <v>288</v>
      </c>
      <c r="AW34" s="64">
        <f>3600*0.15</f>
        <v>540</v>
      </c>
      <c r="AX34" s="64">
        <f>3600*0.2</f>
        <v>720</v>
      </c>
      <c r="AY34" s="64">
        <f>3600*0.37</f>
        <v>1332</v>
      </c>
      <c r="AZ34" s="64">
        <f>3600*0.43</f>
        <v>1548</v>
      </c>
      <c r="BA34" s="64">
        <f>3600*0.5</f>
        <v>1800</v>
      </c>
      <c r="BB34" s="64">
        <f>3600*0.57</f>
        <v>2052</v>
      </c>
      <c r="BC34" s="64">
        <f>3600*2</f>
        <v>7200</v>
      </c>
      <c r="BD34" s="64">
        <f>3600*3</f>
        <v>10800</v>
      </c>
      <c r="BE34" s="64">
        <f>3600*4</f>
        <v>14400</v>
      </c>
      <c r="BF34" s="64">
        <f>3600*5</f>
        <v>18000</v>
      </c>
      <c r="BG34" s="64">
        <f>3600*7</f>
        <v>25200</v>
      </c>
      <c r="BH34" s="64">
        <f>3600*10</f>
        <v>36000</v>
      </c>
      <c r="BI34" s="64">
        <f>3600*12</f>
        <v>43200</v>
      </c>
      <c r="BJ34" s="64">
        <f>3600*14</f>
        <v>50400</v>
      </c>
      <c r="BK34" s="65"/>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59"/>
      <c r="CS34" s="59"/>
      <c r="CT34" s="59"/>
      <c r="CU34" s="59"/>
    </row>
    <row r="35" spans="1:99" s="60" customFormat="1" ht="12" customHeight="1" x14ac:dyDescent="0.2">
      <c r="A35" s="94">
        <v>43509</v>
      </c>
      <c r="B35" s="101" t="s">
        <v>203</v>
      </c>
      <c r="C35" s="101" t="s">
        <v>204</v>
      </c>
      <c r="D35" s="77">
        <v>1972</v>
      </c>
      <c r="E35" s="98">
        <v>1</v>
      </c>
      <c r="F35" s="77">
        <v>6</v>
      </c>
      <c r="G35" s="77">
        <v>6</v>
      </c>
      <c r="H35" s="77" t="s">
        <v>150</v>
      </c>
      <c r="I35" s="77" t="s">
        <v>210</v>
      </c>
      <c r="J35" s="77" t="s">
        <v>84</v>
      </c>
      <c r="K35" s="77" t="str">
        <f>IF(J35="syllables","1",IF(J35="trigrams","2",IF(J35="strings","3",IF(J35="visual array","4",IF(J35="characters","5",IF(J35="letters","6",IF(J35="free forms","7",IF(J35="odors","8",IF(J35="words","9",IF(J35="pictures","10",IF(J35="object pictures","11",IF(J35="faces","12",IF(J35="names","13",IF(J35="idioms","14",IF(J35="grades","15",IF(J35="syllable-digit pairs","16",IF(J35="trigram-word pairs","17",IF(J35="word-digit pairs","18",IF(J35="English-Swahili pairs","19",IF(J35="spatial position","20",IF(J35="word pairs","21",IF(J35="word triads","22",IF(J35="generated words","23",IF(J35="word definition pairs","24",IF(J35="math problems","25",IF(J35="famous faces","26",IF(J35="famous names","27",IF(J35="famous voices","28",IF(J35="television programs","29",IF(J35="race horses","30",IF(J35="new vocabulary","31",IF(J35="sentences","32",IF(J35="concepts","33",IF(J35="ad slides","34",IF(J35="scenes","35",IF(J35="famous scenes","36",IF(J35="poems","37",IF(J35="walk","38",IF(J35="faces and events","39",IF(J35="events and names","40",IF(J35="flashbulb","41",IF(J35="stories","42",IF(J35="course material","43",IF(J35="autobiographical","44",IF(J35="novels","45",IF(J35="public events","46",IF(J35="order","90","99")))))))))))))))))))))))))))))))))))))))))))))))</f>
        <v>21</v>
      </c>
      <c r="L35" s="77" t="str">
        <f>IF(J35="syllables","1",IF(J35="trigrams","1",IF(J35="strings","1",IF(J35="visual array","1",IF(J35="characters","1",IF(J35="letters","1",IF(J35="free forms","1",IF(J35="odors","2",IF(J35="words","2",IF(J35="pictures","2",IF(J35="object pictures","2",IF(J35="faces","2",IF(J35="names","2",IF(J35="idioms","2",IF(J35="grades","2",IF(J35="syllable-digit pairs","3",IF(J35="trigram-word pairs","3",IF(J35="word-digit pairs","3",IF(J35="English-Swahili pairs","3",IF(J35="spatial position","3",IF(J35="word pairs","4",IF(J35="word triads","4",IF(J35="generated words","4",IF(J35="word definition pairs","4",IF(J35="math problems","4",IF(J35="famous faces","4",IF(J35="famous names","4",IF(J35="famous voices","4",IF(J35="television programs","4",IF(J35="race horses","4",IF(J35="new vocabulary","4",IF(J35="sentences","5",IF(J35="concepts","5",IF(J35="ad slides","5",IF(J35="scenes","5",IF(J35="famous scenes","5",IF(J35="poems","6",IF(J35="walk","6",IF(J35="faces and events","6",IF(J35="events and names","6",IF(J35="flashbulb","7",IF(J35="stories","7",IF(J35="course material","7",IF(J35="autobiographical","7",IF(J35="novels","7",IF(J35="public events","7",IF(J35="order","90","99")))))))))))))))))))))))))))))))))))))))))))))))</f>
        <v>4</v>
      </c>
      <c r="M35" s="77" t="s">
        <v>195</v>
      </c>
      <c r="N35" s="77">
        <v>1</v>
      </c>
      <c r="O35" s="77" t="s">
        <v>195</v>
      </c>
      <c r="P35" s="77"/>
      <c r="Q35" s="77" t="s">
        <v>18</v>
      </c>
      <c r="R35" s="77" t="str">
        <f>IF(Q35="Free Recall","1",IF(Q35="Cued Recall","2",IF(Q35="Recognition","3",IF(Q35="Multiple Choice","4",IF(Q35="Savings","5",IF(Q35="Stem Completion","6",IF(Q35="Fragment Completion","7",IF(Q35="anagram solution","8",IF(Q35="Matching","9",IF(Q35="Problem Solving","10","99"))))))))))</f>
        <v>3</v>
      </c>
      <c r="S35" s="77" t="s">
        <v>196</v>
      </c>
      <c r="T35" s="96" t="s">
        <v>132</v>
      </c>
      <c r="U35" s="32">
        <f>IF(T35="within",1,0)</f>
        <v>1</v>
      </c>
      <c r="V35" s="96">
        <v>400</v>
      </c>
      <c r="W35" s="77">
        <f>F35*V35</f>
        <v>2400</v>
      </c>
      <c r="X35" s="77">
        <v>15</v>
      </c>
      <c r="Y35" s="98">
        <f>AV34</f>
        <v>288</v>
      </c>
      <c r="Z35" s="77" t="s">
        <v>224</v>
      </c>
      <c r="AA35" s="77">
        <v>50400</v>
      </c>
      <c r="AB35" s="77" t="str">
        <f>IF(AA35&lt;60,"1",IF(AA35&lt;=43200,"2",IF(AA35&lt;=777600,"3","4")))</f>
        <v>3</v>
      </c>
      <c r="AC35" s="100">
        <f>AVERAGE(AV34:DA34)</f>
        <v>14232</v>
      </c>
      <c r="AD35" s="77" t="str">
        <f>IF(AC35&lt;60,"1",IF(AC35&lt;=43200,"2",IF(AC35&lt;=777600,"3","4")))</f>
        <v>2</v>
      </c>
      <c r="AE35" s="98">
        <f>AA35-Y35</f>
        <v>50112</v>
      </c>
      <c r="AF35" s="99">
        <f>AV35</f>
        <v>1.93</v>
      </c>
      <c r="AG35" s="100">
        <f>((AW35-AV35)+(AX35-AW35)+(AY35-AX35)+(AZ35-AY35)+(BA35-AZ35)+(BB35-BA35)+(BC35-BB35)+(BD35-BC35)+(BE35-BD35)+(BF35-BE35)+(BG35-BF35)+(BH35-BG35)+(BI35-BH35)+(BJ35-BI35))/14</f>
        <v>-0.10214285714285716</v>
      </c>
      <c r="AH35" s="84"/>
      <c r="AI35" s="100">
        <f>RSQ(AV35:BJ35,AV34:BJ34)</f>
        <v>0.59018533479648949</v>
      </c>
      <c r="AJ35" s="105">
        <f>SLOPE(AV35:BJ35,AV34:BJ34)</f>
        <v>-2.2802485972533146E-5</v>
      </c>
      <c r="AK35" s="100">
        <f>INTERCEPT(AV35:BJ35,AV34:BJ34)</f>
        <v>1.4331916470277586</v>
      </c>
      <c r="AL35" s="100">
        <f>INDEX(LINEST(LN(AV35:BJ35),LN(AV34:BJ34),TRUE,TRUE),3,1)</f>
        <v>0.73215789104781648</v>
      </c>
      <c r="AM35" s="100">
        <f>INDEX(LINEST(LN(AV35:BJ35),LN(AV34:BJ34)),1)</f>
        <v>-0.24023260219154294</v>
      </c>
      <c r="AN35" s="100">
        <f>EXP(INDEX(LINEST(LN(AV35:BJ35),LN(AV34:BJ34)),1,2))</f>
        <v>7.7449504703416361</v>
      </c>
      <c r="AO35" s="104">
        <f>INDEX(LINEST((AV35:BJ35),LN(AV34:BJ34),TRUE,TRUE),3,1)</f>
        <v>0.7468171629793311</v>
      </c>
      <c r="AP35" s="104">
        <f>INDEX(LINEST((AV35:BJ35),LN(AV34:BJ34)),1)</f>
        <v>-0.2512716586094999</v>
      </c>
      <c r="AQ35" s="48">
        <f>INDEX(LINEST(LN(AV35:BJ35),SQRT(AV34:BJ34),TRUE,TRUE),3,1)</f>
        <v>0.75017518426126539</v>
      </c>
      <c r="AR35" s="56">
        <f>INDEX(LINEST(LN(AV35:BJ35),SQRT((AV34:BJ34))),1)</f>
        <v>-5.840509470141822E-3</v>
      </c>
      <c r="AS35" s="49">
        <f>INDEX(LINEST(1/(AV35:BJ35),1/(SQRT(AV34:BJ34)),TRUE,TRUE),3,1)</f>
        <v>0.48724177184458112</v>
      </c>
      <c r="AT35" s="49">
        <f>INDEX(LINEST(1/(AV35:BJ35),1/SQRT(AV34:BJ34)),1)</f>
        <v>-24.237550751996267</v>
      </c>
      <c r="AU35" s="63"/>
      <c r="AV35" s="65">
        <v>1.93</v>
      </c>
      <c r="AW35" s="65">
        <v>1.8</v>
      </c>
      <c r="AX35" s="65">
        <v>1.79</v>
      </c>
      <c r="AY35" s="65">
        <v>1.23</v>
      </c>
      <c r="AZ35" s="65">
        <v>1.65</v>
      </c>
      <c r="BA35" s="65">
        <v>0.77</v>
      </c>
      <c r="BB35" s="65">
        <v>1.1100000000000001</v>
      </c>
      <c r="BC35" s="65">
        <v>0.97</v>
      </c>
      <c r="BD35" s="65">
        <v>1.42</v>
      </c>
      <c r="BE35" s="65">
        <v>0.73</v>
      </c>
      <c r="BF35" s="65">
        <v>0.89</v>
      </c>
      <c r="BG35" s="65">
        <v>0.8</v>
      </c>
      <c r="BH35" s="65">
        <v>0.64</v>
      </c>
      <c r="BI35" s="65">
        <v>0.4</v>
      </c>
      <c r="BJ35" s="65">
        <v>0.5</v>
      </c>
      <c r="BK35" s="65"/>
      <c r="BL35" s="61"/>
      <c r="BM35" s="61"/>
      <c r="BN35" s="61"/>
      <c r="BO35" s="61"/>
      <c r="BP35" s="61"/>
      <c r="BQ35" s="61"/>
      <c r="BR35" s="61"/>
      <c r="BS35" s="61"/>
      <c r="BT35" s="61"/>
      <c r="BU35" s="61"/>
      <c r="BV35" s="61"/>
      <c r="BW35" s="61"/>
      <c r="BX35" s="61"/>
      <c r="BY35" s="61"/>
      <c r="BZ35" s="61"/>
      <c r="CA35" s="61"/>
      <c r="CB35" s="61"/>
      <c r="CC35" s="61"/>
      <c r="CD35" s="61"/>
      <c r="CE35" s="61"/>
      <c r="CF35" s="61"/>
      <c r="CG35" s="61"/>
      <c r="CH35" s="61"/>
      <c r="CI35" s="61"/>
      <c r="CJ35" s="61"/>
      <c r="CK35" s="61"/>
      <c r="CL35" s="61"/>
      <c r="CM35" s="61"/>
      <c r="CN35" s="61"/>
      <c r="CO35" s="61"/>
      <c r="CP35" s="61"/>
      <c r="CQ35" s="61"/>
      <c r="CR35" s="59"/>
      <c r="CS35" s="59"/>
      <c r="CT35" s="59"/>
      <c r="CU35" s="59"/>
    </row>
    <row r="36" spans="1:99" s="60" customFormat="1" ht="12" customHeight="1" x14ac:dyDescent="0.2">
      <c r="A36" s="94">
        <v>43509</v>
      </c>
      <c r="B36" s="101"/>
      <c r="C36" s="101"/>
      <c r="D36" s="77"/>
      <c r="E36" s="98"/>
      <c r="F36" s="77"/>
      <c r="G36" s="77"/>
      <c r="H36" s="77"/>
      <c r="I36" s="77"/>
      <c r="J36" s="77"/>
      <c r="K36" s="102"/>
      <c r="L36" s="102"/>
      <c r="M36" s="77"/>
      <c r="N36" s="77"/>
      <c r="O36" s="77"/>
      <c r="P36" s="77"/>
      <c r="Q36" s="77"/>
      <c r="R36" s="77"/>
      <c r="S36" s="77"/>
      <c r="T36" s="96"/>
      <c r="U36" s="32"/>
      <c r="V36" s="77"/>
      <c r="W36" s="77"/>
      <c r="X36" s="77"/>
      <c r="Y36" s="98"/>
      <c r="Z36" s="77"/>
      <c r="AA36" s="77"/>
      <c r="AB36" s="77"/>
      <c r="AC36" s="77"/>
      <c r="AD36" s="77"/>
      <c r="AE36" s="77"/>
      <c r="AF36" s="99"/>
      <c r="AG36" s="100"/>
      <c r="AH36" s="84"/>
      <c r="AI36" s="100"/>
      <c r="AJ36" s="105"/>
      <c r="AK36" s="100"/>
      <c r="AL36" s="100"/>
      <c r="AM36" s="100"/>
      <c r="AN36" s="100"/>
      <c r="AO36" s="100"/>
      <c r="AP36" s="100"/>
      <c r="AQ36" s="100"/>
      <c r="AR36" s="105"/>
      <c r="AS36" s="100"/>
      <c r="AT36" s="100"/>
      <c r="AU36" s="62"/>
      <c r="AV36" s="64">
        <f>3600*0.08</f>
        <v>288</v>
      </c>
      <c r="AW36" s="64">
        <f>3600*0.15</f>
        <v>540</v>
      </c>
      <c r="AX36" s="64">
        <f>3600*0.2</f>
        <v>720</v>
      </c>
      <c r="AY36" s="64">
        <f>3600*0.37</f>
        <v>1332</v>
      </c>
      <c r="AZ36" s="64">
        <f>3600*0.43</f>
        <v>1548</v>
      </c>
      <c r="BA36" s="64">
        <f>3600*0.5</f>
        <v>1800</v>
      </c>
      <c r="BB36" s="64">
        <f>3600*0.57</f>
        <v>2052</v>
      </c>
      <c r="BC36" s="64">
        <f>3600*2</f>
        <v>7200</v>
      </c>
      <c r="BD36" s="64">
        <f>3600*3</f>
        <v>10800</v>
      </c>
      <c r="BE36" s="64">
        <f>3600*4</f>
        <v>14400</v>
      </c>
      <c r="BF36" s="64">
        <f>3600*5</f>
        <v>18000</v>
      </c>
      <c r="BG36" s="64">
        <f>3600*7</f>
        <v>25200</v>
      </c>
      <c r="BH36" s="64">
        <f>3600*10</f>
        <v>36000</v>
      </c>
      <c r="BI36" s="64">
        <f>3600*12</f>
        <v>43200</v>
      </c>
      <c r="BJ36" s="64">
        <f>3600*14</f>
        <v>50400</v>
      </c>
      <c r="BK36" s="65"/>
      <c r="BL36" s="61"/>
      <c r="BM36" s="61"/>
      <c r="BN36" s="61"/>
      <c r="BO36" s="61"/>
      <c r="BP36" s="61"/>
      <c r="BQ36" s="61"/>
      <c r="BR36" s="61"/>
      <c r="BS36" s="61"/>
      <c r="BT36" s="61"/>
      <c r="BU36" s="61"/>
      <c r="BV36" s="61"/>
      <c r="BW36" s="61"/>
      <c r="BX36" s="61"/>
      <c r="BY36" s="61"/>
      <c r="BZ36" s="61"/>
      <c r="CA36" s="61"/>
      <c r="CB36" s="61"/>
      <c r="CC36" s="61"/>
      <c r="CD36" s="61"/>
      <c r="CE36" s="61"/>
      <c r="CF36" s="61"/>
      <c r="CG36" s="61"/>
      <c r="CH36" s="61"/>
      <c r="CI36" s="61"/>
      <c r="CJ36" s="61"/>
      <c r="CK36" s="61"/>
      <c r="CL36" s="61"/>
      <c r="CM36" s="61"/>
      <c r="CN36" s="61"/>
      <c r="CO36" s="61"/>
      <c r="CP36" s="61"/>
      <c r="CQ36" s="61"/>
      <c r="CR36" s="59"/>
      <c r="CS36" s="59"/>
      <c r="CT36" s="59"/>
      <c r="CU36" s="59"/>
    </row>
    <row r="37" spans="1:99" s="60" customFormat="1" ht="12" customHeight="1" x14ac:dyDescent="0.2">
      <c r="A37" s="94">
        <v>43509</v>
      </c>
      <c r="B37" s="101" t="s">
        <v>203</v>
      </c>
      <c r="C37" s="101" t="s">
        <v>204</v>
      </c>
      <c r="D37" s="77">
        <v>1972</v>
      </c>
      <c r="E37" s="98">
        <v>1</v>
      </c>
      <c r="F37" s="77">
        <v>6</v>
      </c>
      <c r="G37" s="77">
        <v>6</v>
      </c>
      <c r="H37" s="77" t="s">
        <v>150</v>
      </c>
      <c r="I37" s="77" t="s">
        <v>211</v>
      </c>
      <c r="J37" s="77" t="s">
        <v>84</v>
      </c>
      <c r="K37" s="77" t="str">
        <f>IF(J37="syllables","1",IF(J37="trigrams","2",IF(J37="strings","3",IF(J37="visual array","4",IF(J37="characters","5",IF(J37="letters","6",IF(J37="free forms","7",IF(J37="odors","8",IF(J37="words","9",IF(J37="pictures","10",IF(J37="object pictures","11",IF(J37="faces","12",IF(J37="names","13",IF(J37="idioms","14",IF(J37="grades","15",IF(J37="syllable-digit pairs","16",IF(J37="trigram-word pairs","17",IF(J37="word-digit pairs","18",IF(J37="English-Swahili pairs","19",IF(J37="spatial position","20",IF(J37="word pairs","21",IF(J37="word triads","22",IF(J37="generated words","23",IF(J37="word definition pairs","24",IF(J37="math problems","25",IF(J37="famous faces","26",IF(J37="famous names","27",IF(J37="famous voices","28",IF(J37="television programs","29",IF(J37="race horses","30",IF(J37="new vocabulary","31",IF(J37="sentences","32",IF(J37="concepts","33",IF(J37="ad slides","34",IF(J37="scenes","35",IF(J37="famous scenes","36",IF(J37="poems","37",IF(J37="walk","38",IF(J37="faces and events","39",IF(J37="events and names","40",IF(J37="flashbulb","41",IF(J37="stories","42",IF(J37="course material","43",IF(J37="autobiographical","44",IF(J37="novels","45",IF(J37="public events","46",IF(J37="order","90","99")))))))))))))))))))))))))))))))))))))))))))))))</f>
        <v>21</v>
      </c>
      <c r="L37" s="77" t="str">
        <f>IF(J37="syllables","1",IF(J37="trigrams","1",IF(J37="strings","1",IF(J37="visual array","1",IF(J37="characters","1",IF(J37="letters","1",IF(J37="free forms","1",IF(J37="odors","2",IF(J37="words","2",IF(J37="pictures","2",IF(J37="object pictures","2",IF(J37="faces","2",IF(J37="names","2",IF(J37="idioms","2",IF(J37="grades","2",IF(J37="syllable-digit pairs","3",IF(J37="trigram-word pairs","3",IF(J37="word-digit pairs","3",IF(J37="English-Swahili pairs","3",IF(J37="spatial position","3",IF(J37="word pairs","4",IF(J37="word triads","4",IF(J37="generated words","4",IF(J37="word definition pairs","4",IF(J37="math problems","4",IF(J37="famous faces","4",IF(J37="famous names","4",IF(J37="famous voices","4",IF(J37="television programs","4",IF(J37="race horses","4",IF(J37="new vocabulary","4",IF(J37="sentences","5",IF(J37="concepts","5",IF(J37="ad slides","5",IF(J37="scenes","5",IF(J37="famous scenes","5",IF(J37="poems","6",IF(J37="walk","6",IF(J37="faces and events","6",IF(J37="events and names","6",IF(J37="flashbulb","7",IF(J37="stories","7",IF(J37="course material","7",IF(J37="autobiographical","7",IF(J37="novels","7",IF(J37="public events","7",IF(J37="order","90","99")))))))))))))))))))))))))))))))))))))))))))))))</f>
        <v>4</v>
      </c>
      <c r="M37" s="77" t="s">
        <v>195</v>
      </c>
      <c r="N37" s="77">
        <v>1</v>
      </c>
      <c r="O37" s="77" t="s">
        <v>195</v>
      </c>
      <c r="P37" s="77"/>
      <c r="Q37" s="77" t="s">
        <v>18</v>
      </c>
      <c r="R37" s="77" t="str">
        <f>IF(Q37="Free Recall","1",IF(Q37="Cued Recall","2",IF(Q37="Recognition","3",IF(Q37="Multiple Choice","4",IF(Q37="Savings","5",IF(Q37="Stem Completion","6",IF(Q37="Fragment Completion","7",IF(Q37="anagram solution","8",IF(Q37="Matching","9",IF(Q37="Problem Solving","10","99"))))))))))</f>
        <v>3</v>
      </c>
      <c r="S37" s="77" t="s">
        <v>196</v>
      </c>
      <c r="T37" s="96" t="s">
        <v>132</v>
      </c>
      <c r="U37" s="32">
        <f>IF(T37="within",1,0)</f>
        <v>1</v>
      </c>
      <c r="V37" s="96">
        <v>400</v>
      </c>
      <c r="W37" s="77">
        <f>F37*V37</f>
        <v>2400</v>
      </c>
      <c r="X37" s="77">
        <v>15</v>
      </c>
      <c r="Y37" s="98">
        <f>AV36</f>
        <v>288</v>
      </c>
      <c r="Z37" s="77" t="s">
        <v>224</v>
      </c>
      <c r="AA37" s="77">
        <v>50400</v>
      </c>
      <c r="AB37" s="77" t="str">
        <f>IF(AA37&lt;60,"1",IF(AA37&lt;=43200,"2",IF(AA37&lt;=777600,"3","4")))</f>
        <v>3</v>
      </c>
      <c r="AC37" s="100">
        <f>AVERAGE(AV36:DA36)</f>
        <v>14232</v>
      </c>
      <c r="AD37" s="77" t="str">
        <f>IF(AC37&lt;60,"1",IF(AC37&lt;=43200,"2",IF(AC37&lt;=777600,"3","4")))</f>
        <v>2</v>
      </c>
      <c r="AE37" s="98">
        <f>AA37-Y37</f>
        <v>50112</v>
      </c>
      <c r="AF37" s="99">
        <f>AV37</f>
        <v>1.36</v>
      </c>
      <c r="AG37" s="100">
        <f>((AW37-AV37)+(AX37-AW37)+(AY37-AX37)+(AZ37-AY37)+(BA37-AZ37)+(BB37-BA37)+(BC37-BB37)+(BD37-BC37)+(BE37-BD37)+(BF37-BE37)+(BG37-BF37)+(BH37-BG37)+(BI37-BH37)+(BJ37-BI37))/14</f>
        <v>-7.1428571428571438E-2</v>
      </c>
      <c r="AH37" s="84"/>
      <c r="AI37" s="100">
        <f>RSQ(AV37:BJ37,AV36:BJ36)</f>
        <v>0.54979914847551292</v>
      </c>
      <c r="AJ37" s="105">
        <f>SLOPE(AV37:BJ37,AV36:BJ36)</f>
        <v>-1.7450754836211295E-5</v>
      </c>
      <c r="AK37" s="100">
        <f>INTERCEPT(AV37:BJ37,AV36:BJ36)</f>
        <v>1.0623591428289594</v>
      </c>
      <c r="AL37" s="100">
        <f>INDEX(LINEST(LN(AV37:BJ37),LN(AV36:BJ36),TRUE,TRUE),3,1)</f>
        <v>0.8558547980673793</v>
      </c>
      <c r="AM37" s="100">
        <f>INDEX(LINEST(LN(AV37:BJ37),LN(AV36:BJ36)),1)</f>
        <v>-0.25798424290738398</v>
      </c>
      <c r="AN37" s="100">
        <f>EXP(INDEX(LINEST(LN(AV37:BJ37),LN(AV36:BJ36)),1,2))</f>
        <v>6.5867504163979778</v>
      </c>
      <c r="AO37" s="104">
        <f>INDEX(LINEST((AV37:BJ37),LN(AV36:BJ36),TRUE,TRUE),3,1)</f>
        <v>0.80781743045291543</v>
      </c>
      <c r="AP37" s="104">
        <f>INDEX(LINEST((AV37:BJ37),LN(AV36:BJ36)),1)</f>
        <v>-0.20721308030091035</v>
      </c>
      <c r="AQ37" s="48">
        <f>INDEX(LINEST(LN(AV37:BJ37),SQRT(AV36:BJ36),TRUE,TRUE),3,1)</f>
        <v>0.81339099185403663</v>
      </c>
      <c r="AR37" s="56">
        <f>INDEX(LINEST(LN(AV37:BJ37),SQRT((AV36:BJ36))),1)</f>
        <v>-6.0406354799739147E-3</v>
      </c>
      <c r="AS37" s="49">
        <f>INDEX(LINEST(1/(AV37:BJ37),1/(SQRT(AV36:BJ36)),TRUE,TRUE),3,1)</f>
        <v>0.63636280285257862</v>
      </c>
      <c r="AT37" s="49">
        <f>INDEX(LINEST(1/(AV37:BJ37),1/SQRT(AV36:BJ36)),1)</f>
        <v>-34.35961153144298</v>
      </c>
      <c r="AU37" s="63"/>
      <c r="AV37" s="65">
        <v>1.36</v>
      </c>
      <c r="AW37" s="65">
        <v>1.68</v>
      </c>
      <c r="AX37" s="65">
        <v>1.33</v>
      </c>
      <c r="AY37" s="65">
        <v>1.1299999999999999</v>
      </c>
      <c r="AZ37" s="65">
        <v>0.87</v>
      </c>
      <c r="BA37" s="65">
        <v>0.81</v>
      </c>
      <c r="BB37" s="65">
        <v>0.65</v>
      </c>
      <c r="BC37" s="65">
        <v>0.79</v>
      </c>
      <c r="BD37" s="65">
        <v>0.8</v>
      </c>
      <c r="BE37" s="65">
        <v>0.59</v>
      </c>
      <c r="BF37" s="65">
        <v>0.49</v>
      </c>
      <c r="BG37" s="65">
        <v>0.54</v>
      </c>
      <c r="BH37" s="65">
        <v>0.35</v>
      </c>
      <c r="BI37" s="65">
        <v>0.46</v>
      </c>
      <c r="BJ37" s="65">
        <v>0.36</v>
      </c>
      <c r="BK37" s="65"/>
      <c r="BL37" s="61"/>
      <c r="BM37" s="61"/>
      <c r="BN37" s="61"/>
      <c r="BO37" s="61"/>
      <c r="BP37" s="61"/>
      <c r="BQ37" s="61"/>
      <c r="BR37" s="61"/>
      <c r="BS37" s="61"/>
      <c r="BT37" s="61"/>
      <c r="BU37" s="61"/>
      <c r="BV37" s="61"/>
      <c r="BW37" s="61"/>
      <c r="BX37" s="61"/>
      <c r="BY37" s="61"/>
      <c r="BZ37" s="61"/>
      <c r="CA37" s="61"/>
      <c r="CB37" s="61"/>
      <c r="CC37" s="61"/>
      <c r="CD37" s="61"/>
      <c r="CE37" s="61"/>
      <c r="CF37" s="61"/>
      <c r="CG37" s="61"/>
      <c r="CH37" s="61"/>
      <c r="CI37" s="61"/>
      <c r="CJ37" s="61"/>
      <c r="CK37" s="61"/>
      <c r="CL37" s="61"/>
      <c r="CM37" s="61"/>
      <c r="CN37" s="61"/>
      <c r="CO37" s="61"/>
      <c r="CP37" s="61"/>
      <c r="CQ37" s="61"/>
      <c r="CR37" s="59"/>
      <c r="CS37" s="59"/>
      <c r="CT37" s="59"/>
      <c r="CU37" s="59"/>
    </row>
    <row r="38" spans="1:99" ht="12" customHeight="1" x14ac:dyDescent="0.2">
      <c r="A38" s="37">
        <v>43509</v>
      </c>
      <c r="B38" s="11"/>
      <c r="C38" s="11"/>
      <c r="D38" s="31"/>
      <c r="F38" s="31"/>
      <c r="G38" s="31"/>
      <c r="J38" s="31"/>
      <c r="M38" s="31"/>
      <c r="N38" s="31"/>
      <c r="O38" s="31"/>
      <c r="P38" s="31"/>
      <c r="Q38" s="31"/>
      <c r="R38" s="32"/>
      <c r="S38" s="31"/>
      <c r="T38" s="31"/>
      <c r="U38" s="32"/>
      <c r="V38" s="31"/>
      <c r="W38" s="32"/>
      <c r="Y38" s="41"/>
      <c r="AB38" s="32"/>
      <c r="AC38" s="32"/>
      <c r="AD38" s="32"/>
      <c r="AE38" s="32"/>
      <c r="AF38" s="45"/>
      <c r="AG38" s="28"/>
      <c r="AI38" s="27"/>
      <c r="AJ38" s="52"/>
      <c r="AK38" s="27"/>
      <c r="AL38" s="27"/>
      <c r="AM38" s="27"/>
      <c r="AN38" s="27"/>
      <c r="AO38" s="27"/>
      <c r="AP38" s="27"/>
      <c r="AQ38" s="28"/>
      <c r="AR38" s="51"/>
      <c r="AS38" s="28"/>
      <c r="AT38" s="28"/>
      <c r="AU38" s="4"/>
      <c r="AV38" s="24">
        <v>300</v>
      </c>
      <c r="AW38" s="24">
        <v>1200</v>
      </c>
      <c r="AX38" s="24">
        <v>3600</v>
      </c>
      <c r="AY38" s="24">
        <v>86400</v>
      </c>
      <c r="AZ38" s="24">
        <v>172800</v>
      </c>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11"/>
      <c r="CS38" s="11"/>
      <c r="CT38" s="11"/>
      <c r="CU38" s="11"/>
    </row>
    <row r="39" spans="1:99" ht="12" customHeight="1" x14ac:dyDescent="0.2">
      <c r="A39" s="37">
        <v>43509</v>
      </c>
      <c r="B39" s="11" t="s">
        <v>161</v>
      </c>
      <c r="C39" s="11" t="s">
        <v>39</v>
      </c>
      <c r="D39" s="31">
        <v>1926</v>
      </c>
      <c r="E39" s="42">
        <v>1</v>
      </c>
      <c r="F39" s="31">
        <v>5</v>
      </c>
      <c r="G39" s="31">
        <v>5</v>
      </c>
      <c r="H39" s="31" t="s">
        <v>22</v>
      </c>
      <c r="I39" s="36" t="s">
        <v>158</v>
      </c>
      <c r="J39" s="31" t="s">
        <v>148</v>
      </c>
      <c r="K39" s="32">
        <f>IF(J39="syllables",1,IF(J39="trigrams",2,IF(J39="strings",3,IF(J39="visual array",4,IF(J39="characters",5,IF(J39="letters",6,IF(J39="free forms",7,IF(J39="odors",8,IF(J39="words",9,IF(J39="pictures",10,IF(J39="object pictures",11,IF(J39="faces",12,IF(J39="names",13,IF(J39="idioms",14,IF(J39="grades",15,IF(J39="syllable-digit pairs",16,IF(J39="trigram-word pairs",17,IF(J39="word-digit pairs",18,IF(J39="English-Swahili pairs",19,IF(J39="spatial position",20,IF(J39="word pairs",21,IF(J39="word triads",22,IF(J39="generated words",23,IF(J39="word definition pairs",24,IF(J39="math problems",25,IF(J39="famous faces",26,IF(J39="famous names",27,IF(J39="famous voices",28,IF(J39="television programs",29,IF(J39="race horses",30,IF(J39="new vocabulary",31,IF(J39="sentences",32,IF(J39="concepts",33,IF(J39="ad slides",34,IF(J39="scenes",35,IF(J39="famous scenes",36,IF(J39="poems",37,IF(J39="walk",38,IF(J39="faces and events",39,IF(J39="events and names",40,IF(J39="flashbulb",41,IF(J39="stories",42,IF(J39="course material",43,IF(J39="autobiographical",44,IF(J39="novels",45,IF(J39="public events",46,"99"))))))))))))))))))))))))))))))))))))))))))))))</f>
        <v>5</v>
      </c>
      <c r="L39" s="32">
        <f>IF(J39="syllables",1,IF(J39="trigrams",1,IF(J39="strings",1,IF(J39="visual array",1,IF(J39="characters",1,IF(J39="letters",1,IF(J39="free forms",1,IF(J39="odors",2,IF(J39="words",2,IF(J39="pictures",2,IF(J39="object pictures",2,IF(J39="faces",2,IF(J39="names",2,IF(J39="idioms","2",IF(J39="grades",2,IF(J39="syllable-digit pairs",3,IF(J39="trigram-word pairs",3,IF(J39="word-digit pairs",3,IF(J39="English-Swahili pairs",3,IF(J39="spatial position",3,IF(J39="word pairs",4,IF(J39="word triads",4,IF(J39="generated words",4,IF(J39="word definition pairs",4,IF(J39="math problems",4,IF(J39="famous faces",4,IF(J39="famous names",4,IF(J39="famous voices",4,IF(J39="television programs",4,IF(J39="race horses",4,IF(J39="new vocabulary",4,IF(J39="sentences",5,IF(J39="concepts",5,IF(J39="ad slides",5,IF(J39="scenes",5,IF(J39="famous scenes",5,IF(J39="poems",6,IF(J39="walk",6,IF(J39="faces and events",6,IF(J39="events and names",6,IF(J39="flashbulb",7,IF(J39="stories",7,IF(J39="course material",7,IF(J39="autobiographical",7,IF(J39="novels",7,IF(J39="public events",7,"99"))))))))))))))))))))))))))))))))))))))))))))))</f>
        <v>1</v>
      </c>
      <c r="M39" s="36">
        <v>0</v>
      </c>
      <c r="N39" s="31">
        <v>1</v>
      </c>
      <c r="O39" s="31">
        <v>0</v>
      </c>
      <c r="P39" s="31"/>
      <c r="Q39" s="31" t="s">
        <v>18</v>
      </c>
      <c r="R39" s="32">
        <f>IF(Q39="Free Recall",1,IF(Q39="Cued Recall",2,IF(Q39="Recognition",3,IF(Q39="Multiple Choice",4,IF(Q39="Savings",5,IF(Q39="Stem Completion",6,IF(Q39="Fragment Completion",7,IF(Q39="anagram solution",8,IF(Q39="Matching",9,IF(Q39="Problem Solving",10,"99"))))))))))</f>
        <v>3</v>
      </c>
      <c r="S39" s="31" t="s">
        <v>196</v>
      </c>
      <c r="T39" s="31" t="s">
        <v>132</v>
      </c>
      <c r="U39" s="32">
        <f>IF(T39="within",1,0)</f>
        <v>1</v>
      </c>
      <c r="V39" s="31">
        <v>65</v>
      </c>
      <c r="W39" s="32">
        <f>F39*V39</f>
        <v>325</v>
      </c>
      <c r="X39" s="32">
        <v>5</v>
      </c>
      <c r="Y39" s="41">
        <f>AV38</f>
        <v>300</v>
      </c>
      <c r="Z39" s="36" t="s">
        <v>40</v>
      </c>
      <c r="AA39" s="31">
        <f>2*24*3600</f>
        <v>172800</v>
      </c>
      <c r="AB39" s="32" t="str">
        <f>IF(AA39&lt;60,"1",IF(AA39&lt;=43200,"2",IF(AA39&lt;=777600,"3","4")))</f>
        <v>3</v>
      </c>
      <c r="AC39" s="28">
        <f>AVERAGE(AV38:DA38)</f>
        <v>52860</v>
      </c>
      <c r="AD39" s="32" t="str">
        <f>IF(AC39&lt;60,"1",IF(AC39&lt;=43200,"2",IF(AC39&lt;=777600,"3","4")))</f>
        <v>3</v>
      </c>
      <c r="AE39" s="41">
        <f>AA39-Y39</f>
        <v>172500</v>
      </c>
      <c r="AF39" s="45">
        <f>AV39</f>
        <v>1.1072420199792572</v>
      </c>
      <c r="AG39" s="28">
        <f>((AW39-AV39)+(AX39-AW39)+(AY39-AX39)+(AZ39-AY39))/4</f>
        <v>-9.6549029432237254E-2</v>
      </c>
      <c r="AI39" s="28">
        <f>RSQ(AV39:AZ39,AV38:AZ38)</f>
        <v>0.45921198102195088</v>
      </c>
      <c r="AJ39" s="51">
        <f>SLOPE(AV39:AZ39,AV38:AZ38)</f>
        <v>-2.7270020639698513E-6</v>
      </c>
      <c r="AK39" s="28">
        <f>INTERCEPT(AV39:AZ39,AV38:AZ38)</f>
        <v>1.0799799997054491</v>
      </c>
      <c r="AL39" s="28">
        <f>INDEX(LINEST(LN(AV39:AZ39),LN(AV38:AZ38),TRUE,TRUE),3,1)</f>
        <v>0.72270816733737542</v>
      </c>
      <c r="AM39" s="28">
        <f>INDEX(LINEST(LN(AV39:AZ39),LN(AV38:AZ38)),1)</f>
        <v>-9.9558797664040813E-2</v>
      </c>
      <c r="AN39" s="28">
        <f>EXP(INDEX(LINEST(LN(AV39:AZ39),LN(AV38:AZ38)),1,2))</f>
        <v>2.1729363686464458</v>
      </c>
      <c r="AO39" s="47">
        <f>INDEX(LINEST((AV39:AZ39),LN(AV38:AZ38),TRUE,TRUE),3,1)</f>
        <v>0.65725900427061923</v>
      </c>
      <c r="AP39" s="47">
        <f>INDEX(LINEST((AV39:AZ39),LN(AV38:AZ38)),1)</f>
        <v>-9.0954903397580528E-2</v>
      </c>
      <c r="AQ39" s="48">
        <f>INDEX(LINEST(LN(AV39:AZ39),SQRT(AV38:AZ38),TRUE,TRUE),3,1)</f>
        <v>0.62432419879775292</v>
      </c>
      <c r="AR39" s="56">
        <f>INDEX(LINEST(LN(AV39:AZ39),SQRT((AV38:AZ38))),1)</f>
        <v>-1.4110558044231815E-3</v>
      </c>
      <c r="AS39" s="49">
        <f>INDEX(LINEST(1/(AV39:AZ39),1/(SQRT(AV38:AZ38)),TRUE,TRUE),3,1)</f>
        <v>0.59481842615672431</v>
      </c>
      <c r="AT39" s="49">
        <f>INDEX(LINEST(1/(AV39:AZ39),1/SQRT(AV38:AZ38)),1)</f>
        <v>-11.973327363694416</v>
      </c>
      <c r="AU39" s="3"/>
      <c r="AV39" s="7">
        <v>1.1072420199792572</v>
      </c>
      <c r="AW39" s="7">
        <v>1.3807923130361692</v>
      </c>
      <c r="AX39" s="7">
        <v>0.8452388845347677</v>
      </c>
      <c r="AY39" s="7">
        <v>0.6248342332195107</v>
      </c>
      <c r="AZ39" s="7">
        <v>0.72104590225030818</v>
      </c>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11"/>
      <c r="CS39" s="11"/>
      <c r="CT39" s="11"/>
      <c r="CU39" s="11"/>
    </row>
    <row r="40" spans="1:99" ht="12" customHeight="1" x14ac:dyDescent="0.2">
      <c r="A40" s="37">
        <v>43509</v>
      </c>
      <c r="B40" s="11"/>
      <c r="C40" s="11"/>
      <c r="D40" s="31"/>
      <c r="F40" s="31"/>
      <c r="G40" s="31"/>
      <c r="H40" s="31"/>
      <c r="J40" s="31"/>
      <c r="N40" s="31"/>
      <c r="O40" s="31"/>
      <c r="P40" s="31"/>
      <c r="Q40" s="31"/>
      <c r="R40" s="32"/>
      <c r="S40" s="31"/>
      <c r="T40" s="31"/>
      <c r="U40" s="32"/>
      <c r="V40" s="31"/>
      <c r="W40" s="32"/>
      <c r="Y40" s="41"/>
      <c r="AB40" s="32"/>
      <c r="AC40" s="32"/>
      <c r="AD40" s="32"/>
      <c r="AE40" s="32"/>
      <c r="AF40" s="45"/>
      <c r="AG40" s="28"/>
      <c r="AI40" s="27"/>
      <c r="AJ40" s="52"/>
      <c r="AK40" s="27"/>
      <c r="AL40" s="27"/>
      <c r="AM40" s="27"/>
      <c r="AN40" s="27"/>
      <c r="AO40" s="27"/>
      <c r="AP40" s="27"/>
      <c r="AQ40" s="28"/>
      <c r="AR40" s="51"/>
      <c r="AS40" s="28"/>
      <c r="AT40" s="28"/>
      <c r="AU40" s="4"/>
      <c r="AV40" s="24">
        <v>300</v>
      </c>
      <c r="AW40" s="24">
        <v>1200</v>
      </c>
      <c r="AX40" s="24">
        <v>3600</v>
      </c>
      <c r="AY40" s="24">
        <v>28800</v>
      </c>
      <c r="AZ40" s="24">
        <v>86400</v>
      </c>
      <c r="BA40" s="24">
        <v>172800</v>
      </c>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11"/>
      <c r="CS40" s="11"/>
      <c r="CT40" s="11"/>
      <c r="CU40" s="11"/>
    </row>
    <row r="41" spans="1:99" ht="12" customHeight="1" x14ac:dyDescent="0.2">
      <c r="A41" s="37">
        <v>43509</v>
      </c>
      <c r="B41" s="11" t="s">
        <v>161</v>
      </c>
      <c r="C41" s="11" t="s">
        <v>39</v>
      </c>
      <c r="D41" s="31">
        <v>1926</v>
      </c>
      <c r="E41" s="42">
        <v>2</v>
      </c>
      <c r="F41" s="31">
        <v>6</v>
      </c>
      <c r="G41" s="31">
        <v>6</v>
      </c>
      <c r="H41" s="31" t="s">
        <v>22</v>
      </c>
      <c r="I41" s="36" t="s">
        <v>159</v>
      </c>
      <c r="J41" s="31" t="s">
        <v>148</v>
      </c>
      <c r="K41" s="32">
        <f>IF(J41="syllables",1,IF(J41="trigrams",2,IF(J41="strings",3,IF(J41="visual array",4,IF(J41="characters",5,IF(J41="letters",6,IF(J41="free forms",7,IF(J41="odors",8,IF(J41="words",9,IF(J41="pictures",10,IF(J41="object pictures",11,IF(J41="faces",12,IF(J41="names",13,IF(J41="idioms",14,IF(J41="grades",15,IF(J41="syllable-digit pairs",16,IF(J41="trigram-word pairs",17,IF(J41="word-digit pairs",18,IF(J41="English-Swahili pairs",19,IF(J41="spatial position",20,IF(J41="word pairs",21,IF(J41="word triads",22,IF(J41="generated words",23,IF(J41="word definition pairs",24,IF(J41="math problems",25,IF(J41="famous faces",26,IF(J41="famous names",27,IF(J41="famous voices",28,IF(J41="television programs",29,IF(J41="race horses",30,IF(J41="new vocabulary",31,IF(J41="sentences",32,IF(J41="concepts",33,IF(J41="ad slides",34,IF(J41="scenes",35,IF(J41="famous scenes",36,IF(J41="poems",37,IF(J41="walk",38,IF(J41="faces and events",39,IF(J41="events and names",40,IF(J41="flashbulb",41,IF(J41="stories",42,IF(J41="course material",43,IF(J41="autobiographical",44,IF(J41="novels",45,IF(J41="public events",46,"99"))))))))))))))))))))))))))))))))))))))))))))))</f>
        <v>5</v>
      </c>
      <c r="L41" s="32">
        <f>IF(J41="syllables",1,IF(J41="trigrams",1,IF(J41="strings",1,IF(J41="visual array",1,IF(J41="characters",1,IF(J41="letters",1,IF(J41="free forms",1,IF(J41="odors",2,IF(J41="words",2,IF(J41="pictures",2,IF(J41="object pictures",2,IF(J41="faces",2,IF(J41="names",2,IF(J41="idioms","2",IF(J41="grades",2,IF(J41="syllable-digit pairs",3,IF(J41="trigram-word pairs",3,IF(J41="word-digit pairs",3,IF(J41="English-Swahili pairs",3,IF(J41="spatial position",3,IF(J41="word pairs",4,IF(J41="word triads",4,IF(J41="generated words",4,IF(J41="word definition pairs",4,IF(J41="math problems",4,IF(J41="famous faces",4,IF(J41="famous names",4,IF(J41="famous voices",4,IF(J41="television programs",4,IF(J41="race horses",4,IF(J41="new vocabulary",4,IF(J41="sentences",5,IF(J41="concepts",5,IF(J41="ad slides",5,IF(J41="scenes",5,IF(J41="famous scenes",5,IF(J41="poems",6,IF(J41="walk",6,IF(J41="faces and events",6,IF(J41="events and names",6,IF(J41="flashbulb",7,IF(J41="stories",7,IF(J41="course material",7,IF(J41="autobiographical",7,IF(J41="novels",7,IF(J41="public events",7,"99"))))))))))))))))))))))))))))))))))))))))))))))</f>
        <v>1</v>
      </c>
      <c r="M41" s="36">
        <v>0</v>
      </c>
      <c r="N41" s="31">
        <v>1</v>
      </c>
      <c r="O41" s="31">
        <v>0</v>
      </c>
      <c r="P41" s="31"/>
      <c r="Q41" s="31" t="s">
        <v>18</v>
      </c>
      <c r="R41" s="32">
        <f>IF(Q41="Free Recall",1,IF(Q41="Cued Recall",2,IF(Q41="Recognition",3,IF(Q41="Multiple Choice",4,IF(Q41="Savings",5,IF(Q41="Stem Completion",6,IF(Q41="Fragment Completion",7,IF(Q41="anagram solution",8,IF(Q41="Matching",9,IF(Q41="Problem Solving",10,"99"))))))))))</f>
        <v>3</v>
      </c>
      <c r="S41" s="31" t="s">
        <v>196</v>
      </c>
      <c r="T41" s="31" t="s">
        <v>132</v>
      </c>
      <c r="U41" s="32">
        <f>IF(T41="within",1,0)</f>
        <v>1</v>
      </c>
      <c r="V41" s="31">
        <v>65</v>
      </c>
      <c r="W41" s="32">
        <f>F41*V41</f>
        <v>390</v>
      </c>
      <c r="X41" s="32">
        <v>6</v>
      </c>
      <c r="Y41" s="41">
        <f>AV40</f>
        <v>300</v>
      </c>
      <c r="Z41" s="36" t="s">
        <v>40</v>
      </c>
      <c r="AA41" s="31">
        <f>2*24*3600</f>
        <v>172800</v>
      </c>
      <c r="AB41" s="32" t="str">
        <f>IF(AA41&lt;60,"1",IF(AA41&lt;=43200,"2",IF(AA41&lt;=777600,"3","4")))</f>
        <v>3</v>
      </c>
      <c r="AC41" s="28">
        <f>AVERAGE(AV40:DA40)</f>
        <v>48850</v>
      </c>
      <c r="AD41" s="32" t="str">
        <f>IF(AC41&lt;60,"1",IF(AC41&lt;=43200,"2",IF(AC41&lt;=777600,"3","4")))</f>
        <v>3</v>
      </c>
      <c r="AE41" s="41">
        <f>AA41-Y41</f>
        <v>172500</v>
      </c>
      <c r="AF41" s="45">
        <f>AV41</f>
        <v>1.3621025590677971</v>
      </c>
      <c r="AG41" s="28">
        <f>((AW41-AV41)+(AX41-AW41)+(AY41-AX41)+(AZ41-AY41)+(BA41-AZ41))/5</f>
        <v>-9.7446533756666259E-2</v>
      </c>
      <c r="AI41" s="28">
        <f>RSQ(AV41:BA41,AV40:BA40)</f>
        <v>0.68079767288935267</v>
      </c>
      <c r="AJ41" s="51">
        <f>SLOPE(AV41:BA41,AV40:BA40)</f>
        <v>-2.2754949384067415E-6</v>
      </c>
      <c r="AK41" s="28">
        <f>INTERCEPT(AV41:BA41,AV40:BA40)</f>
        <v>1.2727046758258993</v>
      </c>
      <c r="AL41" s="28">
        <f>INDEX(LINEST(LN(AV41:BA41),LN(AV40:BA40),TRUE,TRUE),3,1)</f>
        <v>0.77351925357668949</v>
      </c>
      <c r="AM41" s="28">
        <f>INDEX(LINEST(LN(AV41:BA41),LN(AV40:BA40)),1)</f>
        <v>-6.0025416092165336E-2</v>
      </c>
      <c r="AN41" s="28">
        <f>EXP(INDEX(LINEST(LN(AV41:BA41),LN(AV40:BA40)),1,2))</f>
        <v>1.9834645804758035</v>
      </c>
      <c r="AO41" s="47">
        <f>INDEX(LINEST((AV41:BA41),LN(AV40:BA40),TRUE,TRUE),3,1)</f>
        <v>0.80523414453422848</v>
      </c>
      <c r="AP41" s="47">
        <f>INDEX(LINEST((AV41:BA41),LN(AV40:BA40)),1)</f>
        <v>-6.7916403355973029E-2</v>
      </c>
      <c r="AQ41" s="48">
        <f>INDEX(LINEST(LN(AV41:BA41),SQRT(AV40:BA40),TRUE,TRUE),3,1)</f>
        <v>0.76794652271319963</v>
      </c>
      <c r="AR41" s="56">
        <f>INDEX(LINEST(LN(AV41:BA41),SQRT((AV40:BA40))),1)</f>
        <v>-9.3591129485548583E-4</v>
      </c>
      <c r="AS41" s="49">
        <f>INDEX(LINEST(1/(AV41:BA41),1/(SQRT(AV40:BA40)),TRUE,TRUE),3,1)</f>
        <v>0.54159943065389415</v>
      </c>
      <c r="AT41" s="49">
        <f>INDEX(LINEST(1/(AV41:BA41),1/SQRT(AV40:BA40)),1)</f>
        <v>-5.4203474774865228</v>
      </c>
      <c r="AU41" s="3"/>
      <c r="AV41" s="7">
        <v>1.3621025590677971</v>
      </c>
      <c r="AW41" s="7">
        <v>1.3417829606294027</v>
      </c>
      <c r="AX41" s="7">
        <v>1.2272082566808913</v>
      </c>
      <c r="AY41" s="7">
        <v>1.0129830196007652</v>
      </c>
      <c r="AZ41" s="7">
        <v>1.1503338022450573</v>
      </c>
      <c r="BA41" s="7">
        <v>0.87486989028446582</v>
      </c>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11"/>
      <c r="CS41" s="11"/>
      <c r="CT41" s="11"/>
      <c r="CU41" s="11"/>
    </row>
    <row r="42" spans="1:99" ht="12" customHeight="1" x14ac:dyDescent="0.2">
      <c r="A42" s="37">
        <v>43509</v>
      </c>
      <c r="B42" s="11"/>
      <c r="C42" s="11"/>
      <c r="D42" s="31"/>
      <c r="F42" s="31"/>
      <c r="G42" s="31"/>
      <c r="H42" s="31"/>
      <c r="J42" s="31"/>
      <c r="N42" s="31"/>
      <c r="O42" s="31"/>
      <c r="P42" s="31"/>
      <c r="Q42" s="31"/>
      <c r="R42" s="32"/>
      <c r="S42" s="31"/>
      <c r="T42" s="31"/>
      <c r="U42" s="32"/>
      <c r="V42" s="31"/>
      <c r="W42" s="32"/>
      <c r="Y42" s="41"/>
      <c r="AB42" s="32"/>
      <c r="AC42" s="32"/>
      <c r="AD42" s="32"/>
      <c r="AE42" s="32"/>
      <c r="AF42" s="45"/>
      <c r="AG42" s="28"/>
      <c r="AI42" s="27"/>
      <c r="AJ42" s="52"/>
      <c r="AK42" s="27"/>
      <c r="AL42" s="27"/>
      <c r="AM42" s="27"/>
      <c r="AN42" s="27"/>
      <c r="AO42" s="27"/>
      <c r="AP42" s="27"/>
      <c r="AQ42" s="28"/>
      <c r="AR42" s="51"/>
      <c r="AS42" s="28"/>
      <c r="AT42" s="28"/>
      <c r="AU42" s="4"/>
      <c r="AV42" s="24">
        <v>300</v>
      </c>
      <c r="AW42" s="24">
        <v>1200</v>
      </c>
      <c r="AX42" s="24">
        <v>3600</v>
      </c>
      <c r="AY42" s="24">
        <v>28800</v>
      </c>
      <c r="AZ42" s="24">
        <v>86400</v>
      </c>
      <c r="BA42" s="24">
        <v>172800</v>
      </c>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11"/>
      <c r="CS42" s="11"/>
      <c r="CT42" s="11"/>
      <c r="CU42" s="11"/>
    </row>
    <row r="43" spans="1:99" ht="12" customHeight="1" x14ac:dyDescent="0.2">
      <c r="A43" s="37">
        <v>43509</v>
      </c>
      <c r="B43" s="11" t="s">
        <v>161</v>
      </c>
      <c r="C43" s="11" t="s">
        <v>39</v>
      </c>
      <c r="D43" s="31">
        <v>1926</v>
      </c>
      <c r="E43" s="42">
        <v>2</v>
      </c>
      <c r="F43" s="31">
        <v>13</v>
      </c>
      <c r="G43" s="31">
        <v>13</v>
      </c>
      <c r="H43" s="31" t="s">
        <v>22</v>
      </c>
      <c r="I43" s="36" t="s">
        <v>160</v>
      </c>
      <c r="J43" s="31" t="s">
        <v>148</v>
      </c>
      <c r="K43" s="32">
        <f>IF(J43="syllables",1,IF(J43="trigrams",2,IF(J43="strings",3,IF(J43="visual array",4,IF(J43="characters",5,IF(J43="letters",6,IF(J43="free forms",7,IF(J43="odors",8,IF(J43="words",9,IF(J43="pictures",10,IF(J43="object pictures",11,IF(J43="faces",12,IF(J43="names",13,IF(J43="idioms",14,IF(J43="grades",15,IF(J43="syllable-digit pairs",16,IF(J43="trigram-word pairs",17,IF(J43="word-digit pairs",18,IF(J43="English-Swahili pairs",19,IF(J43="spatial position",20,IF(J43="word pairs",21,IF(J43="word triads",22,IF(J43="generated words",23,IF(J43="word definition pairs",24,IF(J43="math problems",25,IF(J43="famous faces",26,IF(J43="famous names",27,IF(J43="famous voices",28,IF(J43="television programs",29,IF(J43="race horses",30,IF(J43="new vocabulary",31,IF(J43="sentences",32,IF(J43="concepts",33,IF(J43="ad slides",34,IF(J43="scenes",35,IF(J43="famous scenes",36,IF(J43="poems",37,IF(J43="walk",38,IF(J43="faces and events",39,IF(J43="events and names",40,IF(J43="flashbulb",41,IF(J43="stories",42,IF(J43="course material",43,IF(J43="autobiographical",44,IF(J43="novels",45,IF(J43="public events",46,"99"))))))))))))))))))))))))))))))))))))))))))))))</f>
        <v>5</v>
      </c>
      <c r="L43" s="32">
        <f>IF(J43="syllables",1,IF(J43="trigrams",1,IF(J43="strings",1,IF(J43="visual array",1,IF(J43="characters",1,IF(J43="letters",1,IF(J43="free forms",1,IF(J43="odors",2,IF(J43="words",2,IF(J43="pictures",2,IF(J43="object pictures",2,IF(J43="faces",2,IF(J43="names",2,IF(J43="idioms","2",IF(J43="grades",2,IF(J43="syllable-digit pairs",3,IF(J43="trigram-word pairs",3,IF(J43="word-digit pairs",3,IF(J43="English-Swahili pairs",3,IF(J43="spatial position",3,IF(J43="word pairs",4,IF(J43="word triads",4,IF(J43="generated words",4,IF(J43="word definition pairs",4,IF(J43="math problems",4,IF(J43="famous faces",4,IF(J43="famous names",4,IF(J43="famous voices",4,IF(J43="television programs",4,IF(J43="race horses",4,IF(J43="new vocabulary",4,IF(J43="sentences",5,IF(J43="concepts",5,IF(J43="ad slides",5,IF(J43="scenes",5,IF(J43="famous scenes",5,IF(J43="poems",6,IF(J43="walk",6,IF(J43="faces and events",6,IF(J43="events and names",6,IF(J43="flashbulb",7,IF(J43="stories",7,IF(J43="course material",7,IF(J43="autobiographical",7,IF(J43="novels",7,IF(J43="public events",7,"99"))))))))))))))))))))))))))))))))))))))))))))))</f>
        <v>1</v>
      </c>
      <c r="M43" s="36">
        <v>0</v>
      </c>
      <c r="N43" s="31">
        <v>1</v>
      </c>
      <c r="O43" s="31">
        <v>0</v>
      </c>
      <c r="P43" s="31"/>
      <c r="Q43" s="31" t="s">
        <v>18</v>
      </c>
      <c r="R43" s="32">
        <f>IF(Q43="Free Recall",1,IF(Q43="Cued Recall",2,IF(Q43="Recognition",3,IF(Q43="Multiple Choice",4,IF(Q43="Savings",5,IF(Q43="Stem Completion",6,IF(Q43="Fragment Completion",7,IF(Q43="anagram solution",8,IF(Q43="Matching",9,IF(Q43="Problem Solving",10,"99"))))))))))</f>
        <v>3</v>
      </c>
      <c r="S43" s="31" t="s">
        <v>196</v>
      </c>
      <c r="T43" s="31" t="s">
        <v>132</v>
      </c>
      <c r="U43" s="32">
        <f>IF(T43="within",1,0)</f>
        <v>1</v>
      </c>
      <c r="V43" s="31">
        <v>65</v>
      </c>
      <c r="W43" s="32">
        <f>F43*V43</f>
        <v>845</v>
      </c>
      <c r="X43" s="32">
        <v>6</v>
      </c>
      <c r="Y43" s="41">
        <f>AV42</f>
        <v>300</v>
      </c>
      <c r="Z43" s="36" t="s">
        <v>40</v>
      </c>
      <c r="AA43" s="31">
        <f>2*24*3600</f>
        <v>172800</v>
      </c>
      <c r="AB43" s="32" t="str">
        <f>IF(AA43&lt;60,"1",IF(AA43&lt;=43200,"2",IF(AA43&lt;=777600,"3","4")))</f>
        <v>3</v>
      </c>
      <c r="AC43" s="28">
        <f>AVERAGE(AV42:DA42)</f>
        <v>48850</v>
      </c>
      <c r="AD43" s="32" t="str">
        <f>IF(AC43&lt;60,"1",IF(AC43&lt;=43200,"2",IF(AC43&lt;=777600,"3","4")))</f>
        <v>3</v>
      </c>
      <c r="AE43" s="41">
        <f>AA43-Y43</f>
        <v>172500</v>
      </c>
      <c r="AF43" s="45">
        <f>AV43</f>
        <v>0.9157755150253537</v>
      </c>
      <c r="AG43" s="30">
        <f>((AW43-AV43)+(AX43-AW43)+(AY43-AX43)+(AZ43-AY43)+(BA43-AZ43))/5</f>
        <v>-1.9390815301438779E-2</v>
      </c>
      <c r="AI43" s="28">
        <f>RSQ(AV43:BA43,AV42:BA42)</f>
        <v>1.4720725998657761E-2</v>
      </c>
      <c r="AJ43" s="51">
        <f>SLOPE(AV43:BA43,AV42:BA42)</f>
        <v>-3.7376566573991757E-7</v>
      </c>
      <c r="AK43" s="28">
        <f>INTERCEPT(AV43:BA43,AV42:BA42)</f>
        <v>0.88344373006700128</v>
      </c>
      <c r="AL43" s="28">
        <f>INDEX(LINEST(LN(AV43:BA43),LN(AV42:BA42),TRUE,TRUE),3,1)</f>
        <v>2.7506066497114134E-2</v>
      </c>
      <c r="AM43" s="28">
        <f>INDEX(LINEST(LN(AV43:BA43),LN(AV42:BA42)),1)</f>
        <v>-1.7407171455308845E-2</v>
      </c>
      <c r="AN43" s="28">
        <f>EXP(INDEX(LINEST(LN(AV43:BA43),LN(AV42:BA42)),1,2))</f>
        <v>0.98641367341139974</v>
      </c>
      <c r="AO43" s="47">
        <f>INDEX(LINEST((AV43:BA43),LN(AV42:BA42),TRUE,TRUE),3,1)</f>
        <v>6.1205460201002801E-2</v>
      </c>
      <c r="AP43" s="47">
        <f>INDEX(LINEST((AV43:BA43),LN(AV42:BA42)),1)</f>
        <v>-2.0915903001072954E-2</v>
      </c>
      <c r="AQ43" s="48">
        <f t="shared" ref="AQ43" si="0">INDEX(LINEST(LN(AV43:BA43),SQRT(AV42:BA42),TRUE,TRUE),3,1)</f>
        <v>3.6695245059698068E-3</v>
      </c>
      <c r="AR43" s="56">
        <f t="shared" ref="AR43" si="1">INDEX(LINEST(LN(AV43:BA43),SQRT((AV42:BA42))),1)</f>
        <v>-9.94920645858572E-5</v>
      </c>
      <c r="AS43" s="49">
        <f t="shared" ref="AS43" si="2">INDEX(LINEST(1/(AV43:BA43),1/(SQRT(AV42:BA42)),TRUE,TRUE),3,1)</f>
        <v>4.9667174233963642E-2</v>
      </c>
      <c r="AT43" s="49">
        <f t="shared" ref="AT43" si="3">INDEX(LINEST(1/(AV43:BA43),1/SQRT(AV42:BA42)),1)</f>
        <v>-3.6765436687055315</v>
      </c>
      <c r="AU43" s="3"/>
      <c r="AV43" s="7">
        <v>0.9157755150253537</v>
      </c>
      <c r="AW43" s="7">
        <v>1.1939484408643783</v>
      </c>
      <c r="AX43" s="7">
        <v>0.52831581129696159</v>
      </c>
      <c r="AY43" s="7">
        <v>0.87273950266586819</v>
      </c>
      <c r="AZ43" s="7">
        <v>0.86151095540291656</v>
      </c>
      <c r="BA43" s="7">
        <v>0.81882143851815981</v>
      </c>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11"/>
      <c r="CS43" s="11"/>
      <c r="CT43" s="11"/>
      <c r="CU43" s="11"/>
    </row>
    <row r="44" spans="1:99" ht="12" customHeight="1" x14ac:dyDescent="0.2">
      <c r="A44" s="37">
        <v>43509</v>
      </c>
      <c r="B44" s="11"/>
      <c r="C44" s="11"/>
      <c r="D44" s="31"/>
      <c r="F44" s="31"/>
      <c r="G44" s="31"/>
      <c r="H44" s="31"/>
      <c r="J44" s="31"/>
      <c r="N44" s="31"/>
      <c r="O44" s="31"/>
      <c r="P44" s="31"/>
      <c r="Q44" s="31"/>
      <c r="R44" s="32"/>
      <c r="S44" s="31"/>
      <c r="T44" s="31"/>
      <c r="U44" s="32"/>
      <c r="V44" s="31"/>
      <c r="W44" s="32"/>
      <c r="Y44" s="41"/>
      <c r="AB44" s="32"/>
      <c r="AC44" s="32"/>
      <c r="AD44" s="32"/>
      <c r="AE44" s="32"/>
      <c r="AF44" s="45"/>
      <c r="AG44" s="28"/>
      <c r="AI44" s="27"/>
      <c r="AJ44" s="52"/>
      <c r="AK44" s="27"/>
      <c r="AL44" s="27"/>
      <c r="AM44" s="27"/>
      <c r="AN44" s="27"/>
      <c r="AO44" s="27"/>
      <c r="AP44" s="27"/>
      <c r="AQ44" s="28"/>
      <c r="AR44" s="51"/>
      <c r="AS44" s="28"/>
      <c r="AT44" s="28"/>
      <c r="AU44" s="4"/>
      <c r="AV44" s="24">
        <v>300</v>
      </c>
      <c r="AW44" s="24">
        <v>1200</v>
      </c>
      <c r="AX44" s="24">
        <v>3600</v>
      </c>
      <c r="AY44" s="24">
        <v>28800</v>
      </c>
      <c r="AZ44" s="24">
        <v>86400</v>
      </c>
      <c r="BA44" s="24">
        <v>172800</v>
      </c>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11"/>
      <c r="CS44" s="11"/>
      <c r="CT44" s="11"/>
      <c r="CU44" s="11"/>
    </row>
    <row r="45" spans="1:99" ht="12" customHeight="1" x14ac:dyDescent="0.2">
      <c r="A45" s="37">
        <v>43509</v>
      </c>
      <c r="B45" s="11" t="s">
        <v>161</v>
      </c>
      <c r="C45" s="11" t="s">
        <v>39</v>
      </c>
      <c r="D45" s="31">
        <v>1926</v>
      </c>
      <c r="E45" s="42">
        <v>3</v>
      </c>
      <c r="F45" s="31">
        <v>13</v>
      </c>
      <c r="G45" s="31">
        <v>13</v>
      </c>
      <c r="H45" s="31" t="s">
        <v>15</v>
      </c>
      <c r="J45" s="31" t="s">
        <v>148</v>
      </c>
      <c r="K45" s="32">
        <f>IF(J45="syllables",1,IF(J45="trigrams",2,IF(J45="strings",3,IF(J45="visual array",4,IF(J45="characters",5,IF(J45="letters",6,IF(J45="free forms",7,IF(J45="odors",8,IF(J45="words",9,IF(J45="pictures",10,IF(J45="object pictures",11,IF(J45="faces",12,IF(J45="names",13,IF(J45="idioms",14,IF(J45="grades",15,IF(J45="syllable-digit pairs",16,IF(J45="trigram-word pairs",17,IF(J45="word-digit pairs",18,IF(J45="English-Swahili pairs",19,IF(J45="spatial position",20,IF(J45="word pairs",21,IF(J45="word triads",22,IF(J45="generated words",23,IF(J45="word definition pairs",24,IF(J45="math problems",25,IF(J45="famous faces",26,IF(J45="famous names",27,IF(J45="famous voices",28,IF(J45="television programs",29,IF(J45="race horses",30,IF(J45="new vocabulary",31,IF(J45="sentences",32,IF(J45="concepts",33,IF(J45="ad slides",34,IF(J45="scenes",35,IF(J45="famous scenes",36,IF(J45="poems",37,IF(J45="walk",38,IF(J45="faces and events",39,IF(J45="events and names",40,IF(J45="flashbulb",41,IF(J45="stories",42,IF(J45="course material",43,IF(J45="autobiographical",44,IF(J45="novels",45,IF(J45="public events",46,"99"))))))))))))))))))))))))))))))))))))))))))))))</f>
        <v>5</v>
      </c>
      <c r="L45" s="32">
        <f>IF(J45="syllables",1,IF(J45="trigrams",1,IF(J45="strings",1,IF(J45="visual array",1,IF(J45="characters",1,IF(J45="letters",1,IF(J45="free forms",1,IF(J45="odors",2,IF(J45="words",2,IF(J45="pictures",2,IF(J45="object pictures",2,IF(J45="faces",2,IF(J45="names",2,IF(J45="idioms","2",IF(J45="grades",2,IF(J45="syllable-digit pairs",3,IF(J45="trigram-word pairs",3,IF(J45="word-digit pairs",3,IF(J45="English-Swahili pairs",3,IF(J45="spatial position",3,IF(J45="word pairs",4,IF(J45="word triads",4,IF(J45="generated words",4,IF(J45="word definition pairs",4,IF(J45="math problems",4,IF(J45="famous faces",4,IF(J45="famous names",4,IF(J45="famous voices",4,IF(J45="television programs",4,IF(J45="race horses",4,IF(J45="new vocabulary",4,IF(J45="sentences",5,IF(J45="concepts",5,IF(J45="ad slides",5,IF(J45="scenes",5,IF(J45="famous scenes",5,IF(J45="poems",6,IF(J45="walk",6,IF(J45="faces and events",6,IF(J45="events and names",6,IF(J45="flashbulb",7,IF(J45="stories",7,IF(J45="course material",7,IF(J45="autobiographical",7,IF(J45="novels",7,IF(J45="public events",7,"99"))))))))))))))))))))))))))))))))))))))))))))))</f>
        <v>1</v>
      </c>
      <c r="M45" s="36">
        <v>0</v>
      </c>
      <c r="N45" s="31">
        <v>1</v>
      </c>
      <c r="O45" s="31">
        <v>0</v>
      </c>
      <c r="P45" s="31"/>
      <c r="Q45" s="31" t="s">
        <v>18</v>
      </c>
      <c r="R45" s="32">
        <f>IF(Q45="Free Recall",1,IF(Q45="Cued Recall",2,IF(Q45="Recognition",3,IF(Q45="Multiple Choice",4,IF(Q45="Savings",5,IF(Q45="Stem Completion",6,IF(Q45="Fragment Completion",7,IF(Q45="anagram solution",8,IF(Q45="Matching",9,IF(Q45="Problem Solving",10,"99"))))))))))</f>
        <v>3</v>
      </c>
      <c r="S45" s="31" t="s">
        <v>196</v>
      </c>
      <c r="T45" s="31" t="s">
        <v>132</v>
      </c>
      <c r="U45" s="32">
        <f>IF(T45="within",1,0)</f>
        <v>1</v>
      </c>
      <c r="V45" s="31">
        <v>65</v>
      </c>
      <c r="W45" s="32">
        <f>F45*V45</f>
        <v>845</v>
      </c>
      <c r="X45" s="32">
        <v>6</v>
      </c>
      <c r="Y45" s="41">
        <f>AV44</f>
        <v>300</v>
      </c>
      <c r="Z45" s="36" t="s">
        <v>40</v>
      </c>
      <c r="AA45" s="31">
        <f>2*24*3600</f>
        <v>172800</v>
      </c>
      <c r="AB45" s="32" t="str">
        <f>IF(AA45&lt;60,"1",IF(AA45&lt;=43200,"2",IF(AA45&lt;=777600,"3","4")))</f>
        <v>3</v>
      </c>
      <c r="AC45" s="28">
        <f>AVERAGE(AV44:DA44)</f>
        <v>48850</v>
      </c>
      <c r="AD45" s="32" t="str">
        <f>IF(AC45&lt;60,"1",IF(AC45&lt;=43200,"2",IF(AC45&lt;=777600,"3","4")))</f>
        <v>3</v>
      </c>
      <c r="AE45" s="41">
        <f>AA45-Y45</f>
        <v>172500</v>
      </c>
      <c r="AF45" s="45">
        <f>AV45</f>
        <v>1.7317273599228642</v>
      </c>
      <c r="AG45" s="28">
        <f>((AW45-AV45)+(AX45-AW45)+(AY45-AX45)+(AZ45-AY45)+(BA45-AZ45))/5</f>
        <v>-0.23786425877911768</v>
      </c>
      <c r="AI45" s="28">
        <f>RSQ(AV45:BA45,AV44:BA44)</f>
        <v>0.1979345059666891</v>
      </c>
      <c r="AJ45" s="51">
        <f>SLOPE(AV45:BA45,AV44:BA44)</f>
        <v>-2.9597839200639901E-6</v>
      </c>
      <c r="AK45" s="28">
        <f>INTERCEPT(AV45:BA45,AV44:BA44)</f>
        <v>1.0165632213580145</v>
      </c>
      <c r="AL45" s="28">
        <f>INDEX(LINEST(LN(AV45:BA45),LN(AV44:BA44),TRUE,TRUE),3,1)</f>
        <v>0.57336786354811653</v>
      </c>
      <c r="AM45" s="28">
        <f>INDEX(LINEST(LN(AV45:BA45),LN(AV44:BA44)),1)</f>
        <v>-0.13911314913587569</v>
      </c>
      <c r="AN45" s="28">
        <f>EXP(INDEX(LINEST(LN(AV45:BA45),LN(AV44:BA44)),1,2))</f>
        <v>2.8121538011150662</v>
      </c>
      <c r="AO45" s="47">
        <f>INDEX(LINEST((AV45:BA45),LN(AV44:BA44),TRUE,TRUE),3,1)</f>
        <v>0.57847379295122114</v>
      </c>
      <c r="AP45" s="47">
        <f>INDEX(LINEST((AV45:BA45),LN(AV44:BA44)),1)</f>
        <v>-0.13886341464586405</v>
      </c>
      <c r="AQ45" s="48">
        <f t="shared" ref="AQ45" si="4">INDEX(LINEST(LN(AV45:BA45),SQRT(AV44:BA44),TRUE,TRUE),3,1)</f>
        <v>0.31670889799650409</v>
      </c>
      <c r="AR45" s="56">
        <f t="shared" ref="AR45" si="5">INDEX(LINEST(LN(AV45:BA45),SQRT((AV44:BA44))),1)</f>
        <v>-1.6178983231067545E-3</v>
      </c>
      <c r="AS45" s="49">
        <f t="shared" ref="AS45" si="6">INDEX(LINEST(1/(AV45:BA45),1/(SQRT(AV44:BA44)),TRUE,TRUE),3,1)</f>
        <v>0.68714276933310992</v>
      </c>
      <c r="AT45" s="49">
        <f t="shared" ref="AT45" si="7">INDEX(LINEST(1/(AV45:BA45),1/SQRT(AV44:BA44)),1)</f>
        <v>-20.924251097310336</v>
      </c>
      <c r="AU45" s="3"/>
      <c r="AV45" s="7">
        <v>1.7317273599228642</v>
      </c>
      <c r="AW45" s="7">
        <v>0.97872958014697664</v>
      </c>
      <c r="AX45" s="7">
        <v>0.63788189927533845</v>
      </c>
      <c r="AY45" s="7">
        <v>0.49665919402480874</v>
      </c>
      <c r="AZ45" s="7">
        <v>0.84446256178006684</v>
      </c>
      <c r="BA45" s="7">
        <v>0.54240606602727592</v>
      </c>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11"/>
      <c r="CS45" s="11"/>
      <c r="CT45" s="11"/>
      <c r="CU45" s="11"/>
    </row>
    <row r="46" spans="1:99" ht="12" customHeight="1" x14ac:dyDescent="0.2">
      <c r="R46" s="32"/>
      <c r="U46" s="32"/>
      <c r="W46" s="32"/>
      <c r="Y46" s="41"/>
      <c r="AB46" s="32"/>
      <c r="AD46" s="32"/>
      <c r="AE46" s="32"/>
      <c r="AF46" s="45"/>
    </row>
    <row r="47" spans="1:99" ht="12" customHeight="1" x14ac:dyDescent="0.2">
      <c r="K47" s="32"/>
      <c r="R47" s="32"/>
      <c r="U47" s="32"/>
      <c r="X47" s="36">
        <f>SUM(X3:X45)</f>
        <v>113</v>
      </c>
      <c r="Y47" s="36"/>
      <c r="AB47" s="32"/>
      <c r="AD47" s="32"/>
      <c r="AE47" s="42"/>
      <c r="AF47" s="29"/>
      <c r="AL47" s="68" t="s">
        <v>135</v>
      </c>
      <c r="AM47" s="29">
        <f>AVERAGE(AM3:AM45)</f>
        <v>-0.12917461484833476</v>
      </c>
    </row>
    <row r="48" spans="1:99" ht="12" customHeight="1" x14ac:dyDescent="0.2">
      <c r="R48" s="32"/>
      <c r="Y48" s="36"/>
      <c r="AB48" s="32"/>
      <c r="AD48" s="32"/>
      <c r="AF48" s="36"/>
      <c r="AG48" s="36"/>
      <c r="AL48" s="23" t="s">
        <v>188</v>
      </c>
      <c r="AM48" s="29">
        <f>MEDIAN(AM3:AM45)</f>
        <v>-0.13409059054111686</v>
      </c>
    </row>
    <row r="49" spans="11:39" ht="12" customHeight="1" x14ac:dyDescent="0.2">
      <c r="K49" s="32"/>
      <c r="R49" s="32"/>
      <c r="Y49" s="36"/>
      <c r="AB49" s="32"/>
      <c r="AD49" s="32"/>
      <c r="AF49" s="36"/>
      <c r="AG49" s="36"/>
      <c r="AL49" s="68" t="s">
        <v>167</v>
      </c>
      <c r="AM49" s="29">
        <f>MIN(AM3:AM45)</f>
        <v>-0.25798424290738398</v>
      </c>
    </row>
    <row r="50" spans="11:39" ht="12" customHeight="1" x14ac:dyDescent="0.2">
      <c r="R50" s="32"/>
      <c r="Y50" s="36"/>
      <c r="AB50" s="32"/>
      <c r="AD50" s="32"/>
      <c r="AF50" s="29"/>
      <c r="AL50" s="68" t="s">
        <v>166</v>
      </c>
      <c r="AM50" s="29">
        <f>MAX(AM3:AM45)</f>
        <v>-1.6564050588993136E-2</v>
      </c>
    </row>
    <row r="51" spans="11:39" ht="12" customHeight="1" x14ac:dyDescent="0.2">
      <c r="K51" s="32"/>
      <c r="R51" s="32"/>
      <c r="Y51" s="36"/>
      <c r="AB51" s="32"/>
      <c r="AD51" s="32"/>
      <c r="AF51" s="36"/>
      <c r="AG51" s="36"/>
      <c r="AL51" s="68" t="s">
        <v>168</v>
      </c>
      <c r="AM51" s="36">
        <f xml:space="preserve"> STDEV(AM3:AM45)</f>
        <v>6.7197117444519616E-2</v>
      </c>
    </row>
    <row r="52" spans="11:39" ht="12" customHeight="1" x14ac:dyDescent="0.2">
      <c r="R52" s="32"/>
      <c r="W52" s="32"/>
      <c r="Y52" s="41"/>
      <c r="AB52" s="32"/>
      <c r="AD52" s="32"/>
      <c r="AE52" s="32"/>
      <c r="AF52" s="45"/>
      <c r="AL52" s="23" t="s">
        <v>187</v>
      </c>
      <c r="AM52" s="36">
        <f xml:space="preserve"> STDEV(AM3:AM45)/SQRT(COUNT(AM3:AM45))</f>
        <v>1.4326473576203667E-2</v>
      </c>
    </row>
    <row r="53" spans="11:39" ht="12" customHeight="1" x14ac:dyDescent="0.2">
      <c r="K53" s="32"/>
      <c r="R53" s="32"/>
      <c r="W53" s="32"/>
      <c r="Y53" s="41"/>
      <c r="AB53" s="32"/>
      <c r="AD53" s="32"/>
      <c r="AE53" s="41"/>
      <c r="AF53" s="45"/>
      <c r="AL53" s="69"/>
      <c r="AM53" s="70"/>
    </row>
    <row r="54" spans="11:39" ht="12" customHeight="1" x14ac:dyDescent="0.2">
      <c r="R54" s="32"/>
      <c r="W54" s="32"/>
      <c r="Y54" s="41"/>
      <c r="AB54" s="32"/>
      <c r="AD54" s="32"/>
      <c r="AE54" s="32"/>
      <c r="AF54" s="45"/>
      <c r="AL54" s="69" t="s">
        <v>45</v>
      </c>
      <c r="AM54" s="70">
        <f>AM47-(3*AM51)</f>
        <v>-0.33076596718189361</v>
      </c>
    </row>
    <row r="55" spans="11:39" ht="12" customHeight="1" x14ac:dyDescent="0.2">
      <c r="K55" s="32"/>
      <c r="L55" s="32"/>
      <c r="R55" s="32"/>
      <c r="W55" s="32"/>
      <c r="Y55" s="41"/>
      <c r="AB55" s="32"/>
      <c r="AE55" s="41"/>
      <c r="AF55" s="45"/>
      <c r="AL55" s="69" t="s">
        <v>44</v>
      </c>
      <c r="AM55" s="70">
        <f>AM47+(3*AM51)</f>
        <v>7.2416737485224092E-2</v>
      </c>
    </row>
    <row r="56" spans="11:39" ht="12" customHeight="1" x14ac:dyDescent="0.2">
      <c r="R56" s="32"/>
      <c r="W56" s="32"/>
      <c r="Y56" s="41"/>
      <c r="AB56" s="32"/>
      <c r="AE56" s="32"/>
      <c r="AF56" s="45"/>
    </row>
    <row r="57" spans="11:39" ht="12" customHeight="1" x14ac:dyDescent="0.2">
      <c r="K57" s="32"/>
      <c r="L57" s="32"/>
      <c r="R57" s="32"/>
      <c r="W57" s="32"/>
      <c r="Y57" s="41"/>
      <c r="AB57" s="32"/>
      <c r="AE57" s="41"/>
      <c r="AF57" s="45"/>
    </row>
    <row r="58" spans="11:39" ht="12" customHeight="1" x14ac:dyDescent="0.2">
      <c r="R58" s="32"/>
      <c r="W58" s="32"/>
      <c r="Y58" s="41"/>
      <c r="AB58" s="32"/>
      <c r="AE58" s="32"/>
      <c r="AF58" s="45"/>
    </row>
    <row r="59" spans="11:39" ht="12" customHeight="1" x14ac:dyDescent="0.2">
      <c r="K59" s="32"/>
      <c r="L59" s="32"/>
      <c r="R59" s="32"/>
      <c r="W59" s="32"/>
      <c r="Y59" s="41"/>
      <c r="AB59" s="32"/>
      <c r="AE59" s="41"/>
      <c r="AF59" s="45"/>
    </row>
    <row r="60" spans="11:39" ht="12" customHeight="1" x14ac:dyDescent="0.2">
      <c r="R60" s="32"/>
      <c r="W60" s="32"/>
      <c r="Y60" s="41"/>
      <c r="AB60" s="32"/>
      <c r="AE60" s="32"/>
      <c r="AF60" s="45"/>
    </row>
    <row r="61" spans="11:39" ht="12" customHeight="1" x14ac:dyDescent="0.2">
      <c r="K61" s="32"/>
      <c r="L61" s="32"/>
      <c r="R61" s="32"/>
      <c r="W61" s="32"/>
      <c r="Y61" s="41"/>
      <c r="AB61" s="32"/>
      <c r="AE61" s="41"/>
      <c r="AF61" s="45"/>
    </row>
    <row r="62" spans="11:39" ht="12" customHeight="1" x14ac:dyDescent="0.2">
      <c r="R62" s="32"/>
      <c r="W62" s="32"/>
      <c r="Y62" s="41"/>
      <c r="AB62" s="32"/>
      <c r="AE62" s="32"/>
      <c r="AF62" s="45"/>
    </row>
    <row r="63" spans="11:39" ht="12" customHeight="1" x14ac:dyDescent="0.2">
      <c r="K63" s="32"/>
      <c r="L63" s="32"/>
      <c r="R63" s="32"/>
      <c r="W63" s="32"/>
      <c r="Y63" s="41"/>
      <c r="AB63" s="32"/>
      <c r="AE63" s="41"/>
      <c r="AF63" s="45"/>
    </row>
    <row r="64" spans="11:39" ht="12" customHeight="1" x14ac:dyDescent="0.2">
      <c r="R64" s="32"/>
      <c r="W64" s="32"/>
      <c r="Y64" s="41"/>
      <c r="AB64" s="32"/>
      <c r="AE64" s="32"/>
      <c r="AF64" s="45"/>
    </row>
    <row r="65" spans="11:32" ht="12" customHeight="1" x14ac:dyDescent="0.2">
      <c r="K65" s="32"/>
      <c r="L65" s="32"/>
      <c r="R65" s="32"/>
      <c r="W65" s="32"/>
      <c r="Y65" s="41"/>
      <c r="AB65" s="32"/>
      <c r="AE65" s="41"/>
      <c r="AF65" s="45"/>
    </row>
    <row r="66" spans="11:32" ht="12" customHeight="1" x14ac:dyDescent="0.2">
      <c r="R66" s="32"/>
      <c r="W66" s="32"/>
      <c r="Y66" s="41"/>
      <c r="AB66" s="32"/>
      <c r="AE66" s="32"/>
      <c r="AF66" s="45"/>
    </row>
    <row r="67" spans="11:32" ht="12" customHeight="1" x14ac:dyDescent="0.2">
      <c r="K67" s="32"/>
      <c r="L67" s="32"/>
      <c r="R67" s="32"/>
      <c r="W67" s="32"/>
      <c r="Y67" s="41"/>
      <c r="AB67" s="32"/>
      <c r="AE67" s="41"/>
      <c r="AF67" s="45"/>
    </row>
    <row r="68" spans="11:32" ht="12" customHeight="1" x14ac:dyDescent="0.2">
      <c r="R68" s="32"/>
      <c r="W68" s="32"/>
      <c r="Y68" s="41"/>
      <c r="AB68" s="32"/>
      <c r="AE68" s="32"/>
      <c r="AF68" s="45"/>
    </row>
    <row r="69" spans="11:32" ht="12" customHeight="1" x14ac:dyDescent="0.2">
      <c r="K69" s="32"/>
      <c r="L69" s="32"/>
      <c r="R69" s="32"/>
      <c r="W69" s="32"/>
      <c r="Y69" s="41"/>
      <c r="AB69" s="32"/>
      <c r="AE69" s="41"/>
      <c r="AF69" s="45"/>
    </row>
    <row r="70" spans="11:32" ht="12" customHeight="1" x14ac:dyDescent="0.2">
      <c r="R70" s="32"/>
      <c r="W70" s="32"/>
      <c r="Y70" s="41"/>
      <c r="AB70" s="32"/>
      <c r="AE70" s="32"/>
      <c r="AF70" s="45"/>
    </row>
    <row r="71" spans="11:32" ht="12" customHeight="1" x14ac:dyDescent="0.2">
      <c r="K71" s="32"/>
      <c r="L71" s="32"/>
      <c r="R71" s="32"/>
      <c r="W71" s="32"/>
      <c r="Y71" s="41"/>
      <c r="AB71" s="32"/>
      <c r="AE71" s="41"/>
      <c r="AF71" s="45"/>
    </row>
    <row r="72" spans="11:32" ht="12" customHeight="1" x14ac:dyDescent="0.2">
      <c r="R72" s="32"/>
      <c r="W72" s="32"/>
      <c r="Y72" s="41"/>
      <c r="AB72" s="32"/>
      <c r="AE72" s="32"/>
      <c r="AF72" s="45"/>
    </row>
    <row r="73" spans="11:32" ht="12" customHeight="1" x14ac:dyDescent="0.2">
      <c r="K73" s="32"/>
      <c r="L73" s="32"/>
      <c r="R73" s="32"/>
      <c r="W73" s="32"/>
      <c r="Y73" s="41"/>
      <c r="AB73" s="32"/>
      <c r="AE73" s="41"/>
      <c r="AF73" s="45"/>
    </row>
    <row r="74" spans="11:32" ht="12" customHeight="1" x14ac:dyDescent="0.2">
      <c r="R74" s="32"/>
      <c r="W74" s="32"/>
      <c r="Y74" s="41"/>
      <c r="AB74" s="32"/>
      <c r="AE74" s="32"/>
      <c r="AF74" s="45"/>
    </row>
    <row r="75" spans="11:32" ht="12" customHeight="1" x14ac:dyDescent="0.2">
      <c r="K75" s="32"/>
      <c r="L75" s="32"/>
      <c r="R75" s="32"/>
      <c r="W75" s="32"/>
      <c r="Y75" s="41"/>
      <c r="AB75" s="32"/>
      <c r="AE75" s="41"/>
      <c r="AF75" s="45"/>
    </row>
    <row r="76" spans="11:32" ht="12" customHeight="1" x14ac:dyDescent="0.2">
      <c r="R76" s="32"/>
      <c r="W76" s="32"/>
      <c r="Y76" s="41"/>
      <c r="AB76" s="32"/>
      <c r="AE76" s="32"/>
      <c r="AF76" s="45"/>
    </row>
    <row r="77" spans="11:32" ht="12" customHeight="1" x14ac:dyDescent="0.2">
      <c r="K77" s="32"/>
      <c r="L77" s="32"/>
      <c r="R77" s="32"/>
      <c r="W77" s="32"/>
      <c r="Y77" s="41"/>
      <c r="AB77" s="32"/>
      <c r="AE77" s="41"/>
      <c r="AF77" s="45"/>
    </row>
    <row r="78" spans="11:32" ht="12" customHeight="1" x14ac:dyDescent="0.2">
      <c r="W78" s="32"/>
      <c r="Y78" s="41"/>
      <c r="AB78" s="32"/>
      <c r="AE78" s="32"/>
      <c r="AF78" s="45"/>
    </row>
    <row r="79" spans="11:32" ht="12" customHeight="1" x14ac:dyDescent="0.2">
      <c r="K79" s="32"/>
      <c r="L79" s="32"/>
      <c r="W79" s="32"/>
      <c r="Y79" s="41"/>
      <c r="AE79" s="41"/>
      <c r="AF79" s="45"/>
    </row>
    <row r="80" spans="11:32" ht="12" customHeight="1" x14ac:dyDescent="0.2">
      <c r="W80" s="32"/>
      <c r="Y80" s="41"/>
      <c r="AE80" s="32"/>
      <c r="AF80" s="45"/>
    </row>
    <row r="81" spans="11:32" ht="12" customHeight="1" x14ac:dyDescent="0.2">
      <c r="K81" s="32"/>
      <c r="L81" s="32"/>
      <c r="W81" s="32"/>
      <c r="Y81" s="41"/>
      <c r="AE81" s="41"/>
      <c r="AF81" s="45"/>
    </row>
    <row r="82" spans="11:32" ht="12" customHeight="1" x14ac:dyDescent="0.2">
      <c r="W82" s="32"/>
      <c r="Y82" s="41"/>
      <c r="AE82" s="32"/>
      <c r="AF82" s="45"/>
    </row>
    <row r="83" spans="11:32" ht="12" customHeight="1" x14ac:dyDescent="0.2">
      <c r="K83" s="32"/>
      <c r="L83" s="32"/>
      <c r="W83" s="32"/>
      <c r="Y83" s="41"/>
      <c r="AE83" s="41"/>
      <c r="AF83" s="45"/>
    </row>
    <row r="84" spans="11:32" ht="12" customHeight="1" x14ac:dyDescent="0.2">
      <c r="W84" s="32"/>
      <c r="Y84" s="41"/>
      <c r="AE84" s="32"/>
      <c r="AF84" s="45"/>
    </row>
    <row r="85" spans="11:32" ht="12" customHeight="1" x14ac:dyDescent="0.2">
      <c r="K85" s="32"/>
      <c r="L85" s="32"/>
      <c r="W85" s="32"/>
      <c r="Y85" s="41"/>
      <c r="AE85" s="41"/>
      <c r="AF85" s="45"/>
    </row>
    <row r="87" spans="11:32" ht="12" customHeight="1" x14ac:dyDescent="0.2">
      <c r="K87" s="32"/>
      <c r="L87" s="32"/>
    </row>
  </sheetData>
  <conditionalFormatting sqref="AD46 AD48 AD50 AD52">
    <cfRule type="expression" dxfId="283" priority="1027">
      <formula>MOD(ROW(),2)=1</formula>
    </cfRule>
  </conditionalFormatting>
  <conditionalFormatting sqref="Y52">
    <cfRule type="expression" dxfId="282" priority="725">
      <formula>MOD(ROW(),2)=1</formula>
    </cfRule>
  </conditionalFormatting>
  <conditionalFormatting sqref="Y56">
    <cfRule type="expression" dxfId="281" priority="724">
      <formula>MOD(ROW(),2)=1</formula>
    </cfRule>
  </conditionalFormatting>
  <conditionalFormatting sqref="Y60">
    <cfRule type="expression" dxfId="280" priority="723">
      <formula>MOD(ROW(),2)=1</formula>
    </cfRule>
  </conditionalFormatting>
  <conditionalFormatting sqref="Y64">
    <cfRule type="expression" dxfId="279" priority="722">
      <formula>MOD(ROW(),2)=1</formula>
    </cfRule>
  </conditionalFormatting>
  <conditionalFormatting sqref="Y68">
    <cfRule type="expression" dxfId="278" priority="721">
      <formula>MOD(ROW(),2)=1</formula>
    </cfRule>
  </conditionalFormatting>
  <conditionalFormatting sqref="Y72">
    <cfRule type="expression" dxfId="277" priority="720">
      <formula>MOD(ROW(),2)=1</formula>
    </cfRule>
  </conditionalFormatting>
  <conditionalFormatting sqref="Y76">
    <cfRule type="expression" dxfId="276" priority="719">
      <formula>MOD(ROW(),2)=1</formula>
    </cfRule>
  </conditionalFormatting>
  <conditionalFormatting sqref="Y80">
    <cfRule type="expression" dxfId="275" priority="718">
      <formula>MOD(ROW(),2)=1</formula>
    </cfRule>
  </conditionalFormatting>
  <conditionalFormatting sqref="Y84">
    <cfRule type="expression" dxfId="274" priority="717">
      <formula>MOD(ROW(),2)=1</formula>
    </cfRule>
  </conditionalFormatting>
  <conditionalFormatting sqref="W52">
    <cfRule type="expression" dxfId="273" priority="415">
      <formula>MOD(ROW(),2)=1</formula>
    </cfRule>
  </conditionalFormatting>
  <conditionalFormatting sqref="W56">
    <cfRule type="expression" dxfId="272" priority="414">
      <formula>MOD(ROW(),2)=1</formula>
    </cfRule>
  </conditionalFormatting>
  <conditionalFormatting sqref="W60">
    <cfRule type="expression" dxfId="271" priority="413">
      <formula>MOD(ROW(),2)=1</formula>
    </cfRule>
  </conditionalFormatting>
  <conditionalFormatting sqref="W64">
    <cfRule type="expression" dxfId="270" priority="412">
      <formula>MOD(ROW(),2)=1</formula>
    </cfRule>
  </conditionalFormatting>
  <conditionalFormatting sqref="W68">
    <cfRule type="expression" dxfId="269" priority="411">
      <formula>MOD(ROW(),2)=1</formula>
    </cfRule>
  </conditionalFormatting>
  <conditionalFormatting sqref="W72">
    <cfRule type="expression" dxfId="268" priority="410">
      <formula>MOD(ROW(),2)=1</formula>
    </cfRule>
  </conditionalFormatting>
  <conditionalFormatting sqref="W76">
    <cfRule type="expression" dxfId="267" priority="409">
      <formula>MOD(ROW(),2)=1</formula>
    </cfRule>
  </conditionalFormatting>
  <conditionalFormatting sqref="W80">
    <cfRule type="expression" dxfId="266" priority="408">
      <formula>MOD(ROW(),2)=1</formula>
    </cfRule>
  </conditionalFormatting>
  <conditionalFormatting sqref="W84">
    <cfRule type="expression" dxfId="265" priority="407">
      <formula>MOD(ROW(),2)=1</formula>
    </cfRule>
  </conditionalFormatting>
  <conditionalFormatting sqref="U46">
    <cfRule type="expression" dxfId="264" priority="147">
      <formula>MOD(ROW(),2)=1</formula>
    </cfRule>
  </conditionalFormatting>
  <conditionalFormatting sqref="Y8">
    <cfRule type="expression" dxfId="263" priority="128">
      <formula>MOD(ROW(),2)=1</formula>
    </cfRule>
  </conditionalFormatting>
  <conditionalFormatting sqref="Y12">
    <cfRule type="expression" dxfId="262" priority="127">
      <formula>MOD(ROW(),2)=1</formula>
    </cfRule>
  </conditionalFormatting>
  <conditionalFormatting sqref="Y18">
    <cfRule type="expression" dxfId="261" priority="123">
      <formula>MOD(ROW(),2)=1</formula>
    </cfRule>
  </conditionalFormatting>
  <conditionalFormatting sqref="AC6 AC18 AC20 AC26 AC28 AC38 AC40 AC42 AC44 AG6 AG20 AG18 AG28 AG26 AG44 AG42 AG40 AG38">
    <cfRule type="expression" dxfId="260" priority="141">
      <formula>MOD(ROW(),2)=1</formula>
    </cfRule>
  </conditionalFormatting>
  <conditionalFormatting sqref="AC14 AG14">
    <cfRule type="expression" dxfId="259" priority="140">
      <formula>MOD(ROW(),2)=1</formula>
    </cfRule>
  </conditionalFormatting>
  <conditionalFormatting sqref="AC30 AG30">
    <cfRule type="expression" dxfId="258" priority="139">
      <formula>MOD(ROW(),2)=1</formula>
    </cfRule>
  </conditionalFormatting>
  <conditionalFormatting sqref="AD6">
    <cfRule type="expression" dxfId="257" priority="137">
      <formula>MOD(ROW(),2)=1</formula>
    </cfRule>
  </conditionalFormatting>
  <conditionalFormatting sqref="AD8 AD10 AD12">
    <cfRule type="expression" dxfId="256" priority="136">
      <formula>MOD(ROW(),2)=1</formula>
    </cfRule>
  </conditionalFormatting>
  <conditionalFormatting sqref="Y28">
    <cfRule type="expression" dxfId="255" priority="111">
      <formula>MOD(ROW(),2)=1</formula>
    </cfRule>
  </conditionalFormatting>
  <conditionalFormatting sqref="Y38">
    <cfRule type="expression" dxfId="254" priority="109">
      <formula>MOD(ROW(),2)=1</formula>
    </cfRule>
  </conditionalFormatting>
  <conditionalFormatting sqref="Y42">
    <cfRule type="expression" dxfId="253" priority="108">
      <formula>MOD(ROW(),2)=1</formula>
    </cfRule>
  </conditionalFormatting>
  <conditionalFormatting sqref="W8">
    <cfRule type="expression" dxfId="252" priority="107">
      <formula>MOD(ROW(),2)=1</formula>
    </cfRule>
  </conditionalFormatting>
  <conditionalFormatting sqref="W12">
    <cfRule type="expression" dxfId="251" priority="106">
      <formula>MOD(ROW(),2)=1</formula>
    </cfRule>
  </conditionalFormatting>
  <conditionalFormatting sqref="W18">
    <cfRule type="expression" dxfId="250" priority="102">
      <formula>MOD(ROW(),2)=1</formula>
    </cfRule>
  </conditionalFormatting>
  <conditionalFormatting sqref="W28">
    <cfRule type="expression" dxfId="249" priority="90">
      <formula>MOD(ROW(),2)=1</formula>
    </cfRule>
  </conditionalFormatting>
  <conditionalFormatting sqref="W38">
    <cfRule type="expression" dxfId="248" priority="88">
      <formula>MOD(ROW(),2)=1</formula>
    </cfRule>
  </conditionalFormatting>
  <conditionalFormatting sqref="W42">
    <cfRule type="expression" dxfId="247" priority="87">
      <formula>MOD(ROW(),2)=1</formula>
    </cfRule>
  </conditionalFormatting>
  <conditionalFormatting sqref="U20 U18">
    <cfRule type="expression" dxfId="246" priority="79">
      <formula>MOD(ROW(),2)=1</formula>
    </cfRule>
  </conditionalFormatting>
  <conditionalFormatting sqref="U6">
    <cfRule type="expression" dxfId="245" priority="85">
      <formula>MOD(ROW(),2)=1</formula>
    </cfRule>
  </conditionalFormatting>
  <conditionalFormatting sqref="U8 U10">
    <cfRule type="expression" dxfId="244" priority="84">
      <formula>MOD(ROW(),2)=1</formula>
    </cfRule>
  </conditionalFormatting>
  <conditionalFormatting sqref="U14">
    <cfRule type="expression" dxfId="243" priority="80">
      <formula>MOD(ROW(),2)=1</formula>
    </cfRule>
  </conditionalFormatting>
  <conditionalFormatting sqref="U28 U30 U26">
    <cfRule type="expression" dxfId="242" priority="70">
      <formula>MOD(ROW(),2)=1</formula>
    </cfRule>
  </conditionalFormatting>
  <conditionalFormatting sqref="U38 U40">
    <cfRule type="expression" dxfId="241" priority="68">
      <formula>MOD(ROW(),2)=1</formula>
    </cfRule>
  </conditionalFormatting>
  <conditionalFormatting sqref="U44">
    <cfRule type="expression" dxfId="240" priority="67">
      <formula>MOD(ROW(),2)=1</formula>
    </cfRule>
  </conditionalFormatting>
  <conditionalFormatting sqref="AB2:AC2 AB4:AC4 AG4 AG2 E22:I22">
    <cfRule type="expression" dxfId="239" priority="66">
      <formula>MOD(ROW(),2)=1</formula>
    </cfRule>
  </conditionalFormatting>
  <conditionalFormatting sqref="Y4">
    <cfRule type="expression" dxfId="238" priority="65">
      <formula>MOD(ROW(),2)=1</formula>
    </cfRule>
  </conditionalFormatting>
  <conditionalFormatting sqref="W4">
    <cfRule type="expression" dxfId="237" priority="64">
      <formula>MOD(ROW(),2)=1</formula>
    </cfRule>
  </conditionalFormatting>
  <conditionalFormatting sqref="W22">
    <cfRule type="expression" dxfId="236" priority="54">
      <formula>MOD(ROW(),2)=1</formula>
    </cfRule>
  </conditionalFormatting>
  <conditionalFormatting sqref="J22">
    <cfRule type="expression" dxfId="235" priority="57">
      <formula>MOD(ROW(),2)=1</formula>
    </cfRule>
  </conditionalFormatting>
  <conditionalFormatting sqref="AD22">
    <cfRule type="expression" dxfId="234" priority="56">
      <formula>MOD(ROW(),2)=1</formula>
    </cfRule>
  </conditionalFormatting>
  <conditionalFormatting sqref="Y22">
    <cfRule type="expression" dxfId="233" priority="55">
      <formula>MOD(ROW(),2)=1</formula>
    </cfRule>
  </conditionalFormatting>
  <conditionalFormatting sqref="AC32 AC34 AC36 AG36 AG34 AG32">
    <cfRule type="expression" dxfId="232" priority="49">
      <formula>MOD(ROW(),2)=1</formula>
    </cfRule>
  </conditionalFormatting>
  <conditionalFormatting sqref="AD32 AD34 AD36">
    <cfRule type="expression" dxfId="231" priority="47">
      <formula>MOD(ROW(),2)=1</formula>
    </cfRule>
  </conditionalFormatting>
  <conditionalFormatting sqref="Y32">
    <cfRule type="expression" dxfId="230" priority="40">
      <formula>MOD(ROW(),2)=1</formula>
    </cfRule>
  </conditionalFormatting>
  <conditionalFormatting sqref="Y36">
    <cfRule type="expression" dxfId="229" priority="39">
      <formula>MOD(ROW(),2)=1</formula>
    </cfRule>
  </conditionalFormatting>
  <conditionalFormatting sqref="W32">
    <cfRule type="expression" dxfId="228" priority="30">
      <formula>MOD(ROW(),2)=1</formula>
    </cfRule>
  </conditionalFormatting>
  <conditionalFormatting sqref="W36">
    <cfRule type="expression" dxfId="227" priority="29">
      <formula>MOD(ROW(),2)=1</formula>
    </cfRule>
  </conditionalFormatting>
  <conditionalFormatting sqref="U2">
    <cfRule type="expression" dxfId="226" priority="26">
      <formula>MOD(ROW(),2)=1</formula>
    </cfRule>
  </conditionalFormatting>
  <conditionalFormatting sqref="U4">
    <cfRule type="expression" dxfId="225" priority="25">
      <formula>MOD(ROW(),2)=1</formula>
    </cfRule>
  </conditionalFormatting>
  <conditionalFormatting sqref="U22">
    <cfRule type="expression" dxfId="224" priority="20">
      <formula>MOD(ROW(),2)=1</formula>
    </cfRule>
  </conditionalFormatting>
  <conditionalFormatting sqref="U32">
    <cfRule type="expression" dxfId="223" priority="5">
      <formula>MOD(ROW(),2)=1</formula>
    </cfRule>
  </conditionalFormatting>
  <conditionalFormatting sqref="U34">
    <cfRule type="expression" dxfId="222" priority="4">
      <formula>MOD(ROW(),2)=1</formula>
    </cfRule>
  </conditionalFormatting>
  <conditionalFormatting sqref="U36">
    <cfRule type="expression" dxfId="221" priority="3">
      <formula>MOD(ROW(),2)=1</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71"/>
  <sheetViews>
    <sheetView workbookViewId="0"/>
  </sheetViews>
  <sheetFormatPr defaultRowHeight="15" x14ac:dyDescent="0.25"/>
  <cols>
    <col min="3" max="3" width="9.140625" style="72"/>
  </cols>
  <sheetData>
    <row r="3" spans="1:4" x14ac:dyDescent="0.25">
      <c r="A3" t="str">
        <f>'t-LTM'!B3</f>
        <v>Barkowitz, P., &amp; Brigham, J. C. (1982). Recognition of Faces: Own-Race Bias, Incentive, and Time Delay. Journal of Social Psychology, 12(4), 255-268.</v>
      </c>
      <c r="B3">
        <f>'t-LTM'!AA3</f>
        <v>604800</v>
      </c>
      <c r="C3" s="73">
        <f>B3/(60*60*24)</f>
        <v>7</v>
      </c>
      <c r="D3" s="35">
        <f>'t-LTM'!AM3</f>
        <v>-1.6564050588993136E-2</v>
      </c>
    </row>
    <row r="4" spans="1:4" x14ac:dyDescent="0.25">
      <c r="C4" s="73"/>
    </row>
    <row r="5" spans="1:4" x14ac:dyDescent="0.25">
      <c r="A5" t="str">
        <f>'t-LTM'!B5</f>
        <v>Barkowitz, P., &amp; Brigham, J. C. (1982). Recognition of Faces: Own-Race Bias, Incentive, and Time Delay. Journal of Social Psychology, 12(4), 255-268.</v>
      </c>
      <c r="B5">
        <f>'t-LTM'!AA5</f>
        <v>604800</v>
      </c>
      <c r="C5" s="73">
        <f>B5/(60*60*24)</f>
        <v>7</v>
      </c>
      <c r="D5" s="35">
        <f>'t-LTM'!AM5</f>
        <v>-5.5457948701854352E-2</v>
      </c>
    </row>
    <row r="6" spans="1:4" x14ac:dyDescent="0.25">
      <c r="C6" s="73"/>
    </row>
    <row r="7" spans="1:4" x14ac:dyDescent="0.25">
      <c r="A7" t="str">
        <f>'t-LTM'!B7</f>
        <v>Chance, J. E., &amp; Goldstein, A. G. (1987). Retention interval and face recognition: Response latency measures. Bulletin of the Psychonomic Society, 25(6), 415-418.</v>
      </c>
      <c r="B7">
        <f>'t-LTM'!AA7</f>
        <v>604800</v>
      </c>
      <c r="C7" s="73">
        <f>B7/(60*60*24)</f>
        <v>7</v>
      </c>
      <c r="D7" s="35">
        <f>'t-LTM'!AM7</f>
        <v>-4.0070556100340063E-2</v>
      </c>
    </row>
    <row r="8" spans="1:4" x14ac:dyDescent="0.25">
      <c r="C8" s="73"/>
      <c r="D8" s="35"/>
    </row>
    <row r="9" spans="1:4" x14ac:dyDescent="0.25">
      <c r="A9" t="str">
        <f>'t-LTM'!B9</f>
        <v>Davidson, D. (1994). Recognition and recall of irrelevant and interruptive atypical actions in script-based stories. Journal of Memory and Language, 33(6), 757-775.</v>
      </c>
      <c r="B9">
        <f>'t-LTM'!AA9</f>
        <v>604800</v>
      </c>
      <c r="C9" s="73">
        <f>B9/(60*60*24)</f>
        <v>7</v>
      </c>
      <c r="D9" s="35">
        <f>'t-LTM'!AM9</f>
        <v>-0.1863050867167925</v>
      </c>
    </row>
    <row r="10" spans="1:4" x14ac:dyDescent="0.25">
      <c r="C10" s="73"/>
      <c r="D10" s="35"/>
    </row>
    <row r="11" spans="1:4" x14ac:dyDescent="0.25">
      <c r="A11" t="str">
        <f>'t-LTM'!B11</f>
        <v>Davidson, D. (1994). Recognition and recall of irrelevant and interruptive atypical actions in script-based stories. Journal of Memory and Language, 33(6), 757-775.</v>
      </c>
      <c r="B11">
        <f>'t-LTM'!AA11</f>
        <v>604800</v>
      </c>
      <c r="C11" s="73">
        <f>B11/(60*60*24)</f>
        <v>7</v>
      </c>
      <c r="D11" s="35">
        <f>'t-LTM'!AM11</f>
        <v>-0.12398739227197249</v>
      </c>
    </row>
    <row r="12" spans="1:4" x14ac:dyDescent="0.25">
      <c r="C12" s="73"/>
    </row>
    <row r="13" spans="1:4" x14ac:dyDescent="0.25">
      <c r="A13" t="str">
        <f>'t-LTM'!B13</f>
        <v>Davidson, D. (1994). Recognition and recall of irrelevant and interruptive atypical actions in script-based stories. Journal of Memory and Language, 33(6), 757-775.</v>
      </c>
      <c r="B13">
        <f>'t-LTM'!AA13</f>
        <v>604800</v>
      </c>
      <c r="C13" s="73">
        <f>B13/(60*60*24)</f>
        <v>7</v>
      </c>
      <c r="D13" s="35">
        <f>'t-LTM'!AM13</f>
        <v>-0.14703792681329769</v>
      </c>
    </row>
    <row r="14" spans="1:4" x14ac:dyDescent="0.25">
      <c r="C14" s="73"/>
    </row>
    <row r="15" spans="1:4" x14ac:dyDescent="0.25">
      <c r="A15" t="str">
        <f>'t-LTM'!B15</f>
        <v>Hashtroudi, S., Ferguson, S., Rappold, V., Chrosniak, L., &amp; Roediger, Henry L. (1988). Data-Driven and Conceptually Driven Processes in Partial-Word Identification and Recognition. Journal of Experimental Psychology: Learning, Memory, and Cognition, 14(4), 749-757.</v>
      </c>
      <c r="B15">
        <f>'t-LTM'!AA15</f>
        <v>86400</v>
      </c>
      <c r="C15" s="73">
        <f>B15/(60*60*24)</f>
        <v>1</v>
      </c>
      <c r="D15" s="35">
        <f>'t-LTM'!AM15</f>
        <v>-0.11311780708734026</v>
      </c>
    </row>
    <row r="16" spans="1:4" x14ac:dyDescent="0.25">
      <c r="C16" s="73"/>
    </row>
    <row r="17" spans="1:8" x14ac:dyDescent="0.25">
      <c r="A17" t="str">
        <f>'t-LTM'!B17</f>
        <v>Levin, H. S., High, W. M., &amp; Eisenberg, H. M. (1988). Learning and forgetting during posttraumatic amnesia in head injured patients. Journal of Neurology, Neurosurgery &amp; Psychiatry, 51(1), 14-20.</v>
      </c>
      <c r="B17">
        <f>'t-LTM'!AA17</f>
        <v>115200</v>
      </c>
      <c r="C17" s="73">
        <f>B17/(60*60*24)</f>
        <v>1.3333333333333333</v>
      </c>
      <c r="D17" s="35">
        <f>'t-LTM'!AM17</f>
        <v>-8.2979269088313309E-2</v>
      </c>
    </row>
    <row r="18" spans="1:8" x14ac:dyDescent="0.25">
      <c r="C18" s="73"/>
      <c r="G18" s="67">
        <f>AVERAGE(D3:D45)</f>
        <v>-0.12917461484833476</v>
      </c>
      <c r="H18" s="66">
        <f xml:space="preserve"> STDEV(D3:D45)/SQRT(COUNT(D3:D45))</f>
        <v>1.4326473576203667E-2</v>
      </c>
    </row>
    <row r="19" spans="1:8" x14ac:dyDescent="0.25">
      <c r="A19" t="str">
        <f>'t-LTM'!B19</f>
        <v xml:space="preserve">Mammarella, N., Farifield, B., &amp; Cornoldi, C. (2007). Reality monitoring and resistance to forgetting under short delay intervals. The Quarterly Journal of Experimental Psychology, 60(4), 551-570.
</v>
      </c>
      <c r="B19">
        <f>'t-LTM'!AA19</f>
        <v>172800</v>
      </c>
      <c r="C19" s="73">
        <f>B19/(60*60*24)</f>
        <v>2</v>
      </c>
      <c r="D19" s="35">
        <f>'t-LTM'!AM19</f>
        <v>-0.16047384338199436</v>
      </c>
    </row>
    <row r="20" spans="1:8" x14ac:dyDescent="0.25">
      <c r="C20" s="73"/>
    </row>
    <row r="21" spans="1:8" x14ac:dyDescent="0.25">
      <c r="A21" t="str">
        <f>'t-LTM'!B21</f>
        <v xml:space="preserve">Mammarella, N., Farifield, B., &amp; Cornoldi, C. (2007). Reality monitoring and resistance to forgetting under short delay intervals. The Quarterly Journal of Experimental Psychology, 60(4), 551-570.
</v>
      </c>
      <c r="B21">
        <f>'t-LTM'!AA21</f>
        <v>172800</v>
      </c>
      <c r="C21" s="73">
        <f>B21/(60*60*24)</f>
        <v>2</v>
      </c>
      <c r="D21" s="35">
        <f>'t-LTM'!AM21</f>
        <v>-0.19804254861197892</v>
      </c>
    </row>
    <row r="22" spans="1:8" x14ac:dyDescent="0.25">
      <c r="C22" s="73"/>
    </row>
    <row r="23" spans="1:8" x14ac:dyDescent="0.25">
      <c r="A23" t="str">
        <f>'t-LTM'!B23</f>
        <v>Mayes, A. R., Meudell, P. R., Mann, D., &amp; Pickering, A. (1988). Location of lesions in Korsakoff's syndrome: neuropsychological and neuropathological data on two patients. Cortex, 24(3), 367-388.</v>
      </c>
      <c r="B23">
        <f>'t-LTM'!AA23</f>
        <v>86400</v>
      </c>
      <c r="C23" s="73">
        <f>B23/(60*60*24)</f>
        <v>1</v>
      </c>
      <c r="D23" s="35">
        <f>'t-LTM'!AM23</f>
        <v>-0.10376636196991192</v>
      </c>
    </row>
    <row r="24" spans="1:8" x14ac:dyDescent="0.25">
      <c r="C24" s="73"/>
    </row>
    <row r="25" spans="1:8" x14ac:dyDescent="0.25">
      <c r="A25" t="str">
        <f>'t-LTM'!B25</f>
        <v>McKee, R. D., &amp; Squire, L. R. (1992). Equivalent forgetting rates in long-term memory for diencephalic and medial temporal lobe amnesia. Journal of Neuroscience, 12(10), 3765-3772.</v>
      </c>
      <c r="B25">
        <f>'t-LTM'!AA25</f>
        <v>111600</v>
      </c>
      <c r="C25" s="73">
        <f>B25/(60*60*24)</f>
        <v>1.2916666666666667</v>
      </c>
      <c r="D25" s="35">
        <f>'t-LTM'!AM25</f>
        <v>-0.17719780295865997</v>
      </c>
    </row>
    <row r="26" spans="1:8" x14ac:dyDescent="0.25">
      <c r="C26" s="73"/>
      <c r="D26" s="35"/>
    </row>
    <row r="27" spans="1:8" x14ac:dyDescent="0.25">
      <c r="A27" t="str">
        <f>'t-LTM'!B27</f>
        <v>Thapar, A., &amp; McDermott, K. (2001). False recall and false recognition induced by presentation of associated words: Effects of retention interval and level of processing. Memory &amp; Cognition, 29(3), 424-432.</v>
      </c>
      <c r="B27">
        <f>'t-LTM'!AA27</f>
        <v>604800</v>
      </c>
      <c r="C27" s="73">
        <f>B27/(60*60*24)</f>
        <v>7</v>
      </c>
      <c r="D27" s="35">
        <f>'t-LTM'!AM27</f>
        <v>-0.13684843067023847</v>
      </c>
    </row>
    <row r="28" spans="1:8" x14ac:dyDescent="0.25">
      <c r="C28" s="73"/>
    </row>
    <row r="29" spans="1:8" x14ac:dyDescent="0.25">
      <c r="A29" t="str">
        <f>'t-LTM'!B29</f>
        <v>Thapar, A., &amp; McDermott, K. (2001). False recall and false recognition induced by presentation of associated words: Effects of retention interval and level of processing. Memory &amp; Cognition, 29(3), 424-432.</v>
      </c>
      <c r="B29">
        <f>'t-LTM'!AA29</f>
        <v>604800</v>
      </c>
      <c r="C29" s="73">
        <f>B29/(60*60*24)</f>
        <v>7</v>
      </c>
      <c r="D29" s="35">
        <f>'t-LTM'!AM29</f>
        <v>-0.13133275041199524</v>
      </c>
    </row>
    <row r="30" spans="1:8" x14ac:dyDescent="0.25">
      <c r="C30" s="73"/>
    </row>
    <row r="31" spans="1:8" x14ac:dyDescent="0.25">
      <c r="A31" t="str">
        <f>'t-LTM'!B31</f>
        <v>Thapar, A., &amp; McDermott, K. (2001). False recall and false recognition induced by presentation of associated words: Effects of retention interval and level of processing. Memory &amp; Cognition, 29(3), 424-432.</v>
      </c>
      <c r="B31">
        <f>'t-LTM'!AA31</f>
        <v>604800</v>
      </c>
      <c r="C31" s="73">
        <f>B31/(60*60*24)</f>
        <v>7</v>
      </c>
      <c r="D31" s="35">
        <f>'t-LTM'!AM31</f>
        <v>-0.14364326742087472</v>
      </c>
    </row>
    <row r="32" spans="1:8" x14ac:dyDescent="0.25">
      <c r="C32" s="73"/>
    </row>
    <row r="33" spans="1:4" x14ac:dyDescent="0.25">
      <c r="A33" t="str">
        <f>'t-LTM'!B33</f>
        <v>Wickelgren, W. (1972). Trace resistance and the decay of long-term memory. Journal of Mathematical Psychology, 9(4), 418-455.</v>
      </c>
      <c r="B33">
        <f>'t-LTM'!AA33</f>
        <v>50400</v>
      </c>
      <c r="C33" s="73">
        <f>B33/(60*60*24)</f>
        <v>0.58333333333333337</v>
      </c>
      <c r="D33" s="35">
        <f>'t-LTM'!AM33</f>
        <v>-0.21069510442248982</v>
      </c>
    </row>
    <row r="34" spans="1:4" x14ac:dyDescent="0.25">
      <c r="C34" s="73"/>
      <c r="D34" s="35"/>
    </row>
    <row r="35" spans="1:4" x14ac:dyDescent="0.25">
      <c r="A35" t="str">
        <f>'t-LTM'!B35</f>
        <v>Wickelgren, W. (1972). Trace resistance and the decay of long-term memory. Journal of Mathematical Psychology, 9(4), 418-455.</v>
      </c>
      <c r="B35">
        <f>'t-LTM'!AA35</f>
        <v>50400</v>
      </c>
      <c r="C35" s="73">
        <f>B35/(60*60*24)</f>
        <v>0.58333333333333337</v>
      </c>
      <c r="D35" s="35">
        <f>'t-LTM'!AM35</f>
        <v>-0.24023260219154294</v>
      </c>
    </row>
    <row r="36" spans="1:4" x14ac:dyDescent="0.25">
      <c r="C36" s="73"/>
      <c r="D36" s="35"/>
    </row>
    <row r="37" spans="1:4" x14ac:dyDescent="0.25">
      <c r="A37" t="str">
        <f>'t-LTM'!B37</f>
        <v>Wickelgren, W. (1972). Trace resistance and the decay of long-term memory. Journal of Mathematical Psychology, 9(4), 418-455.</v>
      </c>
      <c r="B37">
        <f>'t-LTM'!AA37</f>
        <v>50400</v>
      </c>
      <c r="C37" s="73">
        <f>B37/(60*60*24)</f>
        <v>0.58333333333333337</v>
      </c>
      <c r="D37" s="35">
        <f>'t-LTM'!AM37</f>
        <v>-0.25798424290738398</v>
      </c>
    </row>
    <row r="38" spans="1:4" x14ac:dyDescent="0.25">
      <c r="C38" s="73"/>
    </row>
    <row r="39" spans="1:4" x14ac:dyDescent="0.25">
      <c r="A39" t="str">
        <f>'t-LTM'!B39</f>
        <v>Wylie, M. (1926). Recognition of Chinese Symbols. The American Journal of Psychology, 37(2), 224-232.</v>
      </c>
      <c r="B39">
        <f>'t-LTM'!AA39</f>
        <v>172800</v>
      </c>
      <c r="C39" s="73">
        <f>B39/(60*60*24)</f>
        <v>2</v>
      </c>
      <c r="D39" s="35">
        <f>'t-LTM'!AM39</f>
        <v>-9.9558797664040813E-2</v>
      </c>
    </row>
    <row r="40" spans="1:4" x14ac:dyDescent="0.25">
      <c r="C40" s="73"/>
    </row>
    <row r="41" spans="1:4" x14ac:dyDescent="0.25">
      <c r="A41" t="str">
        <f>'t-LTM'!B41</f>
        <v>Wylie, M. (1926). Recognition of Chinese Symbols. The American Journal of Psychology, 37(2), 224-232.</v>
      </c>
      <c r="B41">
        <f>'t-LTM'!AA41</f>
        <v>172800</v>
      </c>
      <c r="C41" s="73">
        <f>B41/(60*60*24)</f>
        <v>2</v>
      </c>
      <c r="D41" s="35">
        <f>'t-LTM'!AM41</f>
        <v>-6.0025416092165336E-2</v>
      </c>
    </row>
    <row r="42" spans="1:4" x14ac:dyDescent="0.25">
      <c r="C42" s="73"/>
    </row>
    <row r="43" spans="1:4" x14ac:dyDescent="0.25">
      <c r="A43" t="str">
        <f>'t-LTM'!B43</f>
        <v>Wylie, M. (1926). Recognition of Chinese Symbols. The American Journal of Psychology, 37(2), 224-232.</v>
      </c>
      <c r="B43">
        <f>'t-LTM'!AA43</f>
        <v>172800</v>
      </c>
      <c r="C43" s="73">
        <f>B43/(60*60*24)</f>
        <v>2</v>
      </c>
      <c r="D43" s="35">
        <f>'t-LTM'!AM43</f>
        <v>-1.7407171455308845E-2</v>
      </c>
    </row>
    <row r="44" spans="1:4" x14ac:dyDescent="0.25">
      <c r="C44" s="73"/>
    </row>
    <row r="45" spans="1:4" x14ac:dyDescent="0.25">
      <c r="A45" t="str">
        <f>'t-LTM'!B45</f>
        <v>Wylie, M. (1926). Recognition of Chinese Symbols. The American Journal of Psychology, 37(2), 224-232.</v>
      </c>
      <c r="B45">
        <f>'t-LTM'!AA45</f>
        <v>172800</v>
      </c>
      <c r="C45" s="73">
        <f>B45/(60*60*24)</f>
        <v>2</v>
      </c>
      <c r="D45" s="35">
        <f>'t-LTM'!AM45</f>
        <v>-0.13911314913587569</v>
      </c>
    </row>
    <row r="47" spans="1:4" x14ac:dyDescent="0.25">
      <c r="D47" s="35"/>
    </row>
    <row r="49" spans="4:4" x14ac:dyDescent="0.25">
      <c r="D49" s="35"/>
    </row>
    <row r="51" spans="4:4" x14ac:dyDescent="0.25">
      <c r="D51" s="35"/>
    </row>
    <row r="53" spans="4:4" x14ac:dyDescent="0.25">
      <c r="D53" s="35"/>
    </row>
    <row r="55" spans="4:4" x14ac:dyDescent="0.25">
      <c r="D55" s="35"/>
    </row>
    <row r="57" spans="4:4" x14ac:dyDescent="0.25">
      <c r="D57" s="35"/>
    </row>
    <row r="59" spans="4:4" x14ac:dyDescent="0.25">
      <c r="D59" s="35"/>
    </row>
    <row r="61" spans="4:4" x14ac:dyDescent="0.25">
      <c r="D61" s="35"/>
    </row>
    <row r="63" spans="4:4" x14ac:dyDescent="0.25">
      <c r="D63" s="35"/>
    </row>
    <row r="65" spans="4:4" x14ac:dyDescent="0.25">
      <c r="D65" s="35"/>
    </row>
    <row r="67" spans="4:4" x14ac:dyDescent="0.25">
      <c r="D67" s="35"/>
    </row>
    <row r="69" spans="4:4" x14ac:dyDescent="0.25">
      <c r="D69" s="35"/>
    </row>
    <row r="71" spans="4:4" x14ac:dyDescent="0.25">
      <c r="D71" s="35"/>
    </row>
  </sheetData>
  <pageMargins left="0.7" right="0.7" top="0.75" bottom="0.75" header="0.3" footer="0.3"/>
  <pageSetup orientation="portrait" horizontalDpi="4294967293" verticalDpi="4294967293"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87"/>
  <sheetViews>
    <sheetView workbookViewId="0">
      <pane ySplit="1" topLeftCell="A2" activePane="bottomLeft" state="frozen"/>
      <selection pane="bottomLeft"/>
    </sheetView>
  </sheetViews>
  <sheetFormatPr defaultColWidth="5.28515625" defaultRowHeight="12" customHeight="1" outlineLevelCol="1" x14ac:dyDescent="0.2"/>
  <cols>
    <col min="1" max="1" width="11.28515625" style="33" bestFit="1" customWidth="1"/>
    <col min="2" max="2" width="9.7109375" style="10" customWidth="1"/>
    <col min="3" max="3" width="17.85546875" style="10" customWidth="1"/>
    <col min="4" max="4" width="6.85546875" style="36" customWidth="1"/>
    <col min="5" max="5" width="4.28515625" style="42" customWidth="1"/>
    <col min="6" max="6" width="10.28515625" style="36" bestFit="1" customWidth="1"/>
    <col min="7" max="7" width="9.28515625" style="36" customWidth="1"/>
    <col min="8" max="8" width="14.85546875" style="36" bestFit="1" customWidth="1"/>
    <col min="9" max="9" width="30.5703125" style="36" customWidth="1"/>
    <col min="10" max="10" width="17.5703125" style="36" customWidth="1"/>
    <col min="11" max="11" width="9.5703125" style="36" customWidth="1"/>
    <col min="12" max="13" width="9.7109375" style="36" customWidth="1"/>
    <col min="14" max="14" width="13.85546875" style="36" customWidth="1"/>
    <col min="15" max="15" width="8.7109375" style="36" customWidth="1"/>
    <col min="16" max="16" width="22.7109375" style="36" bestFit="1" customWidth="1"/>
    <col min="17" max="17" width="18.28515625" style="36" bestFit="1" customWidth="1"/>
    <col min="18" max="18" width="8.7109375" style="36" bestFit="1" customWidth="1"/>
    <col min="19" max="19" width="11.42578125" style="36" bestFit="1" customWidth="1"/>
    <col min="20" max="20" width="12.7109375" style="36" customWidth="1"/>
    <col min="21" max="21" width="10.42578125" style="36" bestFit="1" customWidth="1"/>
    <col min="22" max="22" width="10.42578125" style="36" customWidth="1"/>
    <col min="23" max="23" width="11.85546875" style="36" customWidth="1"/>
    <col min="24" max="24" width="8.140625" style="36" customWidth="1"/>
    <col min="25" max="25" width="10" style="42" customWidth="1"/>
    <col min="26" max="26" width="15.42578125" style="36" customWidth="1"/>
    <col min="27" max="27" width="11" style="36" customWidth="1"/>
    <col min="28" max="28" width="16.42578125" style="36" customWidth="1"/>
    <col min="29" max="29" width="13.5703125" style="36" customWidth="1"/>
    <col min="30" max="30" width="13.140625" style="36" customWidth="1"/>
    <col min="31" max="31" width="11" style="36" customWidth="1"/>
    <col min="32" max="32" width="12.5703125" style="46" customWidth="1"/>
    <col min="33" max="33" width="10.140625" style="29" customWidth="1"/>
    <col min="34" max="34" width="10.7109375" style="8" customWidth="1"/>
    <col min="35" max="35" width="10.7109375" style="29" customWidth="1"/>
    <col min="36" max="36" width="10.7109375" style="54" customWidth="1"/>
    <col min="37" max="40" width="10.7109375" style="29" customWidth="1"/>
    <col min="41" max="43" width="10.7109375" style="29" customWidth="1" outlineLevel="1"/>
    <col min="44" max="44" width="16.85546875" style="54" customWidth="1" outlineLevel="1"/>
    <col min="45" max="46" width="16.85546875" style="29" customWidth="1" outlineLevel="1"/>
    <col min="47" max="47" width="5.28515625" style="8" outlineLevel="1"/>
    <col min="48" max="50" width="13.42578125" style="23" bestFit="1" customWidth="1" outlineLevel="1"/>
    <col min="51" max="51" width="14.85546875" style="23" bestFit="1" customWidth="1" outlineLevel="1"/>
    <col min="52" max="53" width="14.5703125" style="23" bestFit="1" customWidth="1"/>
    <col min="54" max="54" width="13.5703125" style="23" bestFit="1" customWidth="1"/>
    <col min="55" max="57" width="13.5703125" style="16" bestFit="1" customWidth="1"/>
    <col min="58" max="62" width="12.42578125" style="16" bestFit="1" customWidth="1"/>
    <col min="63" max="74" width="10.42578125" style="16" bestFit="1" customWidth="1"/>
    <col min="75" max="95" width="11.42578125" style="16" bestFit="1" customWidth="1"/>
    <col min="96" max="99" width="12.42578125" style="10" bestFit="1" customWidth="1"/>
    <col min="100" max="133" width="10.42578125" style="10" bestFit="1" customWidth="1"/>
    <col min="134" max="16384" width="5.28515625" style="10"/>
  </cols>
  <sheetData>
    <row r="1" spans="1:99" ht="12" customHeight="1" x14ac:dyDescent="0.2">
      <c r="A1" s="33" t="s">
        <v>81</v>
      </c>
      <c r="B1" s="11" t="s">
        <v>0</v>
      </c>
      <c r="C1" s="11" t="s">
        <v>1</v>
      </c>
      <c r="D1" s="31" t="s">
        <v>2</v>
      </c>
      <c r="E1" s="40" t="s">
        <v>131</v>
      </c>
      <c r="F1" s="31" t="s">
        <v>6</v>
      </c>
      <c r="G1" s="31" t="s">
        <v>110</v>
      </c>
      <c r="H1" s="31" t="s">
        <v>1</v>
      </c>
      <c r="I1" s="31" t="s">
        <v>8</v>
      </c>
      <c r="J1" s="31" t="s">
        <v>7</v>
      </c>
      <c r="K1" s="31" t="s">
        <v>127</v>
      </c>
      <c r="L1" s="31" t="s">
        <v>122</v>
      </c>
      <c r="M1" s="31" t="s">
        <v>125</v>
      </c>
      <c r="N1" s="31" t="s">
        <v>123</v>
      </c>
      <c r="O1" s="31" t="s">
        <v>5</v>
      </c>
      <c r="P1" s="31" t="s">
        <v>126</v>
      </c>
      <c r="Q1" s="31" t="s">
        <v>3</v>
      </c>
      <c r="R1" s="31" t="s">
        <v>124</v>
      </c>
      <c r="S1" s="31" t="s">
        <v>4</v>
      </c>
      <c r="T1" s="31" t="s">
        <v>68</v>
      </c>
      <c r="U1" s="31" t="s">
        <v>165</v>
      </c>
      <c r="V1" s="31" t="s">
        <v>120</v>
      </c>
      <c r="W1" s="31" t="s">
        <v>121</v>
      </c>
      <c r="X1" s="31" t="s">
        <v>128</v>
      </c>
      <c r="Y1" s="40" t="s">
        <v>117</v>
      </c>
      <c r="Z1" s="31" t="s">
        <v>129</v>
      </c>
      <c r="AA1" s="31" t="s">
        <v>87</v>
      </c>
      <c r="AB1" s="31" t="s">
        <v>85</v>
      </c>
      <c r="AC1" s="31" t="s">
        <v>86</v>
      </c>
      <c r="AD1" s="31" t="s">
        <v>130</v>
      </c>
      <c r="AE1" s="31" t="s">
        <v>118</v>
      </c>
      <c r="AF1" s="44" t="s">
        <v>119</v>
      </c>
      <c r="AG1" s="27" t="s">
        <v>114</v>
      </c>
      <c r="AH1" s="4"/>
      <c r="AI1" s="58" t="s">
        <v>76</v>
      </c>
      <c r="AJ1" s="52" t="s">
        <v>74</v>
      </c>
      <c r="AK1" s="27" t="s">
        <v>9</v>
      </c>
      <c r="AL1" s="58" t="s">
        <v>77</v>
      </c>
      <c r="AM1" s="27" t="s">
        <v>10</v>
      </c>
      <c r="AN1" s="27" t="s">
        <v>11</v>
      </c>
      <c r="AO1" s="58" t="s">
        <v>162</v>
      </c>
      <c r="AP1" s="27" t="s">
        <v>80</v>
      </c>
      <c r="AQ1" s="58" t="s">
        <v>163</v>
      </c>
      <c r="AR1" s="52" t="s">
        <v>78</v>
      </c>
      <c r="AS1" s="58" t="s">
        <v>164</v>
      </c>
      <c r="AT1" s="27" t="s">
        <v>79</v>
      </c>
      <c r="AU1" s="4"/>
      <c r="AV1" s="7" t="s">
        <v>75</v>
      </c>
      <c r="AW1" s="7"/>
      <c r="AX1" s="7"/>
      <c r="AY1" s="7"/>
      <c r="AZ1" s="7"/>
      <c r="BA1" s="7"/>
      <c r="BB1" s="7"/>
      <c r="BC1" s="6"/>
      <c r="BD1" s="6"/>
      <c r="BE1" s="6"/>
      <c r="BF1" s="6"/>
      <c r="BG1" s="6"/>
      <c r="BH1" s="6"/>
      <c r="BI1" s="6"/>
      <c r="BJ1" s="6"/>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11"/>
      <c r="CS1" s="11"/>
      <c r="CT1" s="11"/>
      <c r="CU1" s="11"/>
    </row>
    <row r="2" spans="1:99" s="68" customFormat="1" ht="12" customHeight="1" x14ac:dyDescent="0.2">
      <c r="A2" s="94">
        <v>43509</v>
      </c>
      <c r="B2" s="95"/>
      <c r="C2" s="95"/>
      <c r="D2" s="96"/>
      <c r="E2" s="97"/>
      <c r="F2" s="96"/>
      <c r="G2" s="96"/>
      <c r="H2" s="96"/>
      <c r="I2" s="96"/>
      <c r="J2" s="96"/>
      <c r="K2" s="77"/>
      <c r="L2" s="96"/>
      <c r="M2" s="96"/>
      <c r="N2" s="96"/>
      <c r="O2" s="96"/>
      <c r="P2" s="96"/>
      <c r="Q2" s="96"/>
      <c r="R2" s="77"/>
      <c r="S2" s="96"/>
      <c r="T2" s="77"/>
      <c r="U2" s="32"/>
      <c r="V2" s="96"/>
      <c r="W2" s="77"/>
      <c r="X2" s="96"/>
      <c r="Y2" s="98"/>
      <c r="Z2" s="96"/>
      <c r="AA2" s="96"/>
      <c r="AB2" s="77"/>
      <c r="AC2" s="77"/>
      <c r="AD2" s="77"/>
      <c r="AE2" s="77"/>
      <c r="AF2" s="99"/>
      <c r="AG2" s="100"/>
      <c r="AH2" s="62"/>
      <c r="AI2" s="49"/>
      <c r="AJ2" s="56"/>
      <c r="AK2" s="49"/>
      <c r="AL2" s="49"/>
      <c r="AM2" s="49"/>
      <c r="AN2" s="49"/>
      <c r="AO2" s="49"/>
      <c r="AP2" s="49"/>
      <c r="AQ2" s="49"/>
      <c r="AR2" s="49"/>
      <c r="AS2" s="104"/>
      <c r="AT2" s="104"/>
      <c r="AU2" s="62"/>
      <c r="AV2" s="107">
        <f>5*60</f>
        <v>300</v>
      </c>
      <c r="AW2" s="107">
        <f>2*24*3600</f>
        <v>172800</v>
      </c>
      <c r="AX2" s="107">
        <f>7*24*3600</f>
        <v>604800</v>
      </c>
      <c r="AY2" s="108"/>
      <c r="AZ2" s="108"/>
      <c r="BA2" s="108"/>
      <c r="BB2" s="108"/>
      <c r="BC2" s="108"/>
      <c r="BD2" s="108"/>
      <c r="BE2" s="108"/>
      <c r="BF2" s="108"/>
      <c r="BG2" s="108"/>
      <c r="BH2" s="108"/>
      <c r="BI2" s="108"/>
      <c r="BJ2" s="108"/>
      <c r="BK2" s="108"/>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2"/>
      <c r="CS2" s="92"/>
      <c r="CT2" s="92"/>
      <c r="CU2" s="92"/>
    </row>
    <row r="3" spans="1:99" s="68" customFormat="1" ht="12" customHeight="1" x14ac:dyDescent="0.2">
      <c r="A3" s="94">
        <v>43509</v>
      </c>
      <c r="B3" s="95" t="s">
        <v>192</v>
      </c>
      <c r="C3" s="95" t="s">
        <v>193</v>
      </c>
      <c r="D3" s="96">
        <v>1982</v>
      </c>
      <c r="E3" s="97">
        <v>1</v>
      </c>
      <c r="F3" s="96">
        <v>237</v>
      </c>
      <c r="G3" s="96">
        <v>10</v>
      </c>
      <c r="H3" s="96" t="s">
        <v>28</v>
      </c>
      <c r="I3" s="96" t="s">
        <v>194</v>
      </c>
      <c r="J3" s="96" t="s">
        <v>88</v>
      </c>
      <c r="K3" s="77" t="str">
        <f>IF(J3="syllables","1",IF(J3="trigrams","2",IF(J3="trigram-word pairs","3",IF(J3="visual array","4",IF(J3="characters","5",IF(J3="letters","6",IF(J3="free forms","7",IF(J3="odors","8",IF(J3="words","9",IF(J3="pictures","10",IF(J3="object pictures","11",IF(J3="faces","12",IF(J3="names","13",IF(J3="syllable-digit pairs","14",IF(J3="word-digit pairs","15",IF(J3="English-Swahili pairs","16",IF(J3="word pairs","17",IF(J3="word triads","18",IF(J3="generated words","19",IF(J3="word definition pairs","20",IF(J3="math problems","21",IF(J3="sentences","22",IF(J3="idioms","23",IF(J3="concepts","24",IF(J3="ad slides","25",IF(J3="scenes","26",IF(J3="poems","27",IF(J3="walk","28",IF(J3="flashbulb","29",IF(J3="stories","30",IF(J3="course material","31",IF(J3="grades","32",IF(J3="autobiographical","33",IF(J3="novels","34",IF(J3="spatial position","35",IF(J3="famous faces","36",IF(J3="famous names","37",IF(J3="famous voices","38",IF(J3="famous scenes","39",IF(J3="public events","40",IF(J3="faces and events","41",IF(J3="events and names","42",IF(J3="television programs","43",IF(J3="race horses","44",IF(J3="new vocabulary","45",IF(J3="order","90","99"))))))))))))))))))))))))))))))))))))))))))))))</f>
        <v>12</v>
      </c>
      <c r="L3" s="96">
        <v>2</v>
      </c>
      <c r="M3" s="96" t="s">
        <v>195</v>
      </c>
      <c r="N3" s="96">
        <v>1</v>
      </c>
      <c r="O3" s="96" t="s">
        <v>195</v>
      </c>
      <c r="P3" s="96"/>
      <c r="Q3" s="96" t="s">
        <v>18</v>
      </c>
      <c r="R3" s="77" t="str">
        <f>IF(Q3="Free Recall","1",IF(Q3="Cued Recall","2",IF(Q3="Recognition","3",IF(Q3="Multiple Choice","4",IF(Q3="Savings","5",IF(Q3="Stem Completion","6",IF(Q3="Fragment Completion","7",IF(Q3="anagram solution","8",IF(Q3="Matching","9",IF(Q3="Problem Solving","10","99"))))))))))</f>
        <v>3</v>
      </c>
      <c r="S3" s="96" t="s">
        <v>196</v>
      </c>
      <c r="T3" s="77" t="s">
        <v>72</v>
      </c>
      <c r="U3" s="32">
        <f>IF(T3="within",1,0)</f>
        <v>0</v>
      </c>
      <c r="V3" s="96">
        <v>12</v>
      </c>
      <c r="W3" s="77">
        <f>F3*V3</f>
        <v>2844</v>
      </c>
      <c r="X3" s="96">
        <v>3</v>
      </c>
      <c r="Y3" s="98">
        <f>AV2</f>
        <v>300</v>
      </c>
      <c r="Z3" s="96" t="s">
        <v>41</v>
      </c>
      <c r="AA3" s="96">
        <f>7*24*3600</f>
        <v>604800</v>
      </c>
      <c r="AB3" s="77" t="str">
        <f>IF(AA3&lt;60,"1",IF(AA3&lt;=43200,"2",IF(AA3&lt;=777600,"3","4")))</f>
        <v>3</v>
      </c>
      <c r="AC3" s="100">
        <f>AVERAGE(AV2:DA2)</f>
        <v>259300</v>
      </c>
      <c r="AD3" s="77" t="str">
        <f>IF(AC3&lt;60,"1",IF(AC3&lt;=43200,"2",IF(AC3&lt;=777600,"3","4")))</f>
        <v>3</v>
      </c>
      <c r="AE3" s="98">
        <f>AA3-Y3</f>
        <v>604500</v>
      </c>
      <c r="AF3" s="99">
        <f>AV3</f>
        <v>1.52</v>
      </c>
      <c r="AG3" s="100">
        <f>((AW3-AV3)+(AX3-AW3))/2</f>
        <v>-7.0000000000000062E-2</v>
      </c>
      <c r="AH3" s="62"/>
      <c r="AI3" s="100">
        <f>RSQ(AV3:AX3,AV2:AX2)</f>
        <v>0.17898461536158486</v>
      </c>
      <c r="AJ3" s="105">
        <f>SLOPE(AV3:AX3,AV2:AX2)</f>
        <v>-1.5128897276643822E-7</v>
      </c>
      <c r="AK3" s="100">
        <f>INTERCEPT(AV3:AX3,AV2:AX2)</f>
        <v>1.4392292306383376</v>
      </c>
      <c r="AL3" s="100">
        <f>INDEX(LINEST(LN(AV3:AX3),LN(AV2:AX2),TRUE,TRUE),3,1)</f>
        <v>0.73364435699807629</v>
      </c>
      <c r="AM3" s="100">
        <f>INDEX(LINEST(LN(AV3:AX3),LN(AV2:AX2)),1)</f>
        <v>-1.6564050588993136E-2</v>
      </c>
      <c r="AN3" s="100">
        <f>EXP(INDEX(LINEST(LN(AV3:AX3),LN(AV2:AX2)),1,2))</f>
        <v>1.6585924316232432</v>
      </c>
      <c r="AO3" s="104">
        <f>INDEX(LINEST((AV3:AX3),LN(AV2:AX2),TRUE,TRUE),3,1)</f>
        <v>0.75175730569789856</v>
      </c>
      <c r="AP3" s="104">
        <f>INDEX(LINEST((AV3:AX3),LN(AV2:AX2)),1)</f>
        <v>-2.3665728537810529E-2</v>
      </c>
      <c r="AQ3" s="48">
        <f>INDEX(LINEST(LN(AV3:AX3),SQRT(AV2:AX2),TRUE,TRUE),3,1)</f>
        <v>0.40191031156365464</v>
      </c>
      <c r="AR3" s="56">
        <f>INDEX(LINEST(LN(AV3:AX3),SQRT((AV2:AX2))),1)</f>
        <v>-1.3150991215941414E-4</v>
      </c>
      <c r="AS3" s="49">
        <f>INDEX(LINEST(1/(AV3:AX3),1/(SQRT(AV2:AX2)),TRUE,TRUE),3,1)</f>
        <v>0.82879698048768202</v>
      </c>
      <c r="AT3" s="49">
        <f>INDEX(LINEST(1/(AV3:AX3),1/SQRT(AV2:AX2)),1)</f>
        <v>-1.5806753237635172</v>
      </c>
      <c r="AU3" s="63"/>
      <c r="AV3" s="108">
        <v>1.52</v>
      </c>
      <c r="AW3" s="108">
        <v>1.3</v>
      </c>
      <c r="AX3" s="108">
        <v>1.38</v>
      </c>
      <c r="AY3" s="108"/>
      <c r="AZ3" s="108"/>
      <c r="BA3" s="108"/>
      <c r="BB3" s="108"/>
      <c r="BC3" s="108"/>
      <c r="BD3" s="108"/>
      <c r="BE3" s="108"/>
      <c r="BF3" s="108"/>
      <c r="BG3" s="108"/>
      <c r="BH3" s="108"/>
      <c r="BI3" s="108"/>
      <c r="BJ3" s="108"/>
      <c r="BK3" s="108"/>
      <c r="BL3" s="93"/>
      <c r="BM3" s="93"/>
      <c r="BN3" s="93"/>
      <c r="BO3" s="93"/>
      <c r="BP3" s="93"/>
      <c r="BQ3" s="93"/>
      <c r="BR3" s="93"/>
      <c r="BS3" s="93"/>
      <c r="BT3" s="93"/>
      <c r="BU3" s="93"/>
      <c r="BV3" s="93"/>
      <c r="BW3" s="93"/>
      <c r="BX3" s="93"/>
      <c r="BY3" s="93"/>
      <c r="BZ3" s="93"/>
      <c r="CA3" s="93"/>
      <c r="CB3" s="93"/>
      <c r="CC3" s="93"/>
      <c r="CD3" s="93"/>
      <c r="CE3" s="93"/>
      <c r="CF3" s="93"/>
      <c r="CG3" s="93"/>
      <c r="CH3" s="93"/>
      <c r="CI3" s="93"/>
      <c r="CJ3" s="93"/>
      <c r="CK3" s="93"/>
      <c r="CL3" s="93"/>
      <c r="CM3" s="93"/>
      <c r="CN3" s="93"/>
      <c r="CO3" s="93"/>
      <c r="CP3" s="93"/>
      <c r="CQ3" s="93"/>
      <c r="CR3" s="92"/>
      <c r="CS3" s="92"/>
      <c r="CT3" s="92"/>
      <c r="CU3" s="92"/>
    </row>
    <row r="4" spans="1:99" s="68" customFormat="1" ht="12" customHeight="1" x14ac:dyDescent="0.2">
      <c r="A4" s="94">
        <v>43509</v>
      </c>
      <c r="B4" s="95"/>
      <c r="C4" s="95"/>
      <c r="D4" s="96"/>
      <c r="E4" s="97"/>
      <c r="F4" s="96"/>
      <c r="G4" s="96"/>
      <c r="H4" s="96"/>
      <c r="I4" s="96"/>
      <c r="J4" s="96"/>
      <c r="K4" s="77"/>
      <c r="L4" s="96"/>
      <c r="M4" s="96"/>
      <c r="N4" s="96"/>
      <c r="O4" s="96"/>
      <c r="P4" s="96"/>
      <c r="Q4" s="96"/>
      <c r="R4" s="77"/>
      <c r="S4" s="96"/>
      <c r="T4" s="77"/>
      <c r="U4" s="32"/>
      <c r="V4" s="96"/>
      <c r="W4" s="77"/>
      <c r="X4" s="96"/>
      <c r="Y4" s="98"/>
      <c r="Z4" s="96"/>
      <c r="AA4" s="96"/>
      <c r="AB4" s="77"/>
      <c r="AC4" s="77"/>
      <c r="AD4" s="77"/>
      <c r="AE4" s="77"/>
      <c r="AF4" s="99"/>
      <c r="AG4" s="100"/>
      <c r="AH4" s="84"/>
      <c r="AI4" s="49"/>
      <c r="AJ4" s="56"/>
      <c r="AK4" s="49"/>
      <c r="AL4" s="49"/>
      <c r="AM4" s="49"/>
      <c r="AN4" s="49"/>
      <c r="AO4" s="49"/>
      <c r="AP4" s="49"/>
      <c r="AQ4" s="49"/>
      <c r="AR4" s="56"/>
      <c r="AS4" s="49"/>
      <c r="AT4" s="49"/>
      <c r="AU4" s="62"/>
      <c r="AV4" s="107">
        <f>5*60</f>
        <v>300</v>
      </c>
      <c r="AW4" s="107">
        <f>2*24*3600</f>
        <v>172800</v>
      </c>
      <c r="AX4" s="107">
        <f>7*24*3600</f>
        <v>604800</v>
      </c>
      <c r="AY4" s="108"/>
      <c r="AZ4" s="108"/>
      <c r="BA4" s="108"/>
      <c r="BB4" s="108"/>
      <c r="BC4" s="108"/>
      <c r="BD4" s="108"/>
      <c r="BE4" s="108"/>
      <c r="BF4" s="108"/>
      <c r="BG4" s="108"/>
      <c r="BH4" s="108"/>
      <c r="BI4" s="108"/>
      <c r="BJ4" s="108"/>
      <c r="BK4" s="108"/>
      <c r="BL4" s="93"/>
      <c r="BM4" s="93"/>
      <c r="BN4" s="93"/>
      <c r="BO4" s="93"/>
      <c r="BP4" s="93"/>
      <c r="BQ4" s="93"/>
      <c r="BR4" s="93"/>
      <c r="BS4" s="93"/>
      <c r="BT4" s="93"/>
      <c r="BU4" s="93"/>
      <c r="BV4" s="93"/>
      <c r="BW4" s="93"/>
      <c r="BX4" s="93"/>
      <c r="BY4" s="93"/>
      <c r="BZ4" s="93"/>
      <c r="CA4" s="93"/>
      <c r="CB4" s="93"/>
      <c r="CC4" s="93"/>
      <c r="CD4" s="93"/>
      <c r="CE4" s="93"/>
      <c r="CF4" s="93"/>
      <c r="CG4" s="93"/>
      <c r="CH4" s="93"/>
      <c r="CI4" s="93"/>
      <c r="CJ4" s="93"/>
      <c r="CK4" s="93"/>
      <c r="CL4" s="93"/>
      <c r="CM4" s="93"/>
      <c r="CN4" s="93"/>
      <c r="CO4" s="93"/>
      <c r="CP4" s="93"/>
      <c r="CQ4" s="93"/>
      <c r="CR4" s="92"/>
      <c r="CS4" s="92"/>
      <c r="CT4" s="92"/>
      <c r="CU4" s="92"/>
    </row>
    <row r="5" spans="1:99" s="68" customFormat="1" ht="12" customHeight="1" x14ac:dyDescent="0.2">
      <c r="A5" s="94">
        <v>43509</v>
      </c>
      <c r="B5" s="95" t="s">
        <v>192</v>
      </c>
      <c r="C5" s="95" t="s">
        <v>193</v>
      </c>
      <c r="D5" s="96">
        <v>1982</v>
      </c>
      <c r="E5" s="97">
        <v>1</v>
      </c>
      <c r="F5" s="96">
        <v>237</v>
      </c>
      <c r="G5" s="96">
        <v>10</v>
      </c>
      <c r="H5" s="96" t="s">
        <v>28</v>
      </c>
      <c r="I5" s="96" t="s">
        <v>197</v>
      </c>
      <c r="J5" s="96" t="s">
        <v>88</v>
      </c>
      <c r="K5" s="77" t="str">
        <f>IF(J5="syllables","1",IF(J5="trigrams","2",IF(J5="trigram-word pairs","3",IF(J5="visual array","4",IF(J5="characters","5",IF(J5="letters","6",IF(J5="free forms","7",IF(J5="odors","8",IF(J5="words","9",IF(J5="pictures","10",IF(J5="object pictures","11",IF(J5="faces","12",IF(J5="names","13",IF(J5="syllable-digit pairs","14",IF(J5="word-digit pairs","15",IF(J5="English-Swahili pairs","16",IF(J5="word pairs","17",IF(J5="word triads","18",IF(J5="generated words","19",IF(J5="word definition pairs","20",IF(J5="math problems","21",IF(J5="sentences","22",IF(J5="idioms","23",IF(J5="concepts","24",IF(J5="ad slides","25",IF(J5="scenes","26",IF(J5="poems","27",IF(J5="walk","28",IF(J5="flashbulb","29",IF(J5="stories","30",IF(J5="course material","31",IF(J5="grades","32",IF(J5="autobiographical","33",IF(J5="novels","34",IF(J5="spatial position","35",IF(J5="famous faces","36",IF(J5="famous names","37",IF(J5="famous voices","38",IF(J5="famous scenes","39",IF(J5="public events","40",IF(J5="faces and events","41",IF(J5="events and names","42",IF(J5="television programs","43",IF(J5="race horses","44",IF(J5="new vocabulary","45",IF(J5="order","90","99"))))))))))))))))))))))))))))))))))))))))))))))</f>
        <v>12</v>
      </c>
      <c r="L5" s="96">
        <v>2</v>
      </c>
      <c r="M5" s="96" t="s">
        <v>195</v>
      </c>
      <c r="N5" s="96">
        <v>1</v>
      </c>
      <c r="O5" s="96" t="s">
        <v>195</v>
      </c>
      <c r="P5" s="96"/>
      <c r="Q5" s="96" t="s">
        <v>18</v>
      </c>
      <c r="R5" s="77" t="str">
        <f>IF(Q5="Free Recall","1",IF(Q5="Cued Recall","2",IF(Q5="Recognition","3",IF(Q5="Multiple Choice","4",IF(Q5="Savings","5",IF(Q5="Stem Completion","6",IF(Q5="Fragment Completion","7",IF(Q5="anagram solution","8",IF(Q5="Matching","9",IF(Q5="Problem Solving","10","99"))))))))))</f>
        <v>3</v>
      </c>
      <c r="S5" s="96" t="s">
        <v>196</v>
      </c>
      <c r="T5" s="77" t="s">
        <v>72</v>
      </c>
      <c r="U5" s="32">
        <f>IF(T5="within",1,0)</f>
        <v>0</v>
      </c>
      <c r="V5" s="96">
        <v>12</v>
      </c>
      <c r="W5" s="77">
        <f>F5*V5</f>
        <v>2844</v>
      </c>
      <c r="X5" s="96">
        <v>3</v>
      </c>
      <c r="Y5" s="98">
        <f>AV4</f>
        <v>300</v>
      </c>
      <c r="Z5" s="96" t="s">
        <v>41</v>
      </c>
      <c r="AA5" s="96">
        <f>7*24*3600</f>
        <v>604800</v>
      </c>
      <c r="AB5" s="77" t="str">
        <f>IF(AA5&lt;60,"1",IF(AA5&lt;=43200,"2",IF(AA5&lt;=777600,"3","4")))</f>
        <v>3</v>
      </c>
      <c r="AC5" s="100">
        <f>AVERAGE(AV4:DA4)</f>
        <v>259300</v>
      </c>
      <c r="AD5" s="77" t="str">
        <f>IF(AC5&lt;60,"1",IF(AC5&lt;=43200,"2",IF(AC5&lt;=777600,"3","4")))</f>
        <v>3</v>
      </c>
      <c r="AE5" s="98">
        <f>AA5-Y5</f>
        <v>604500</v>
      </c>
      <c r="AF5" s="99">
        <f>AV5</f>
        <v>1.41</v>
      </c>
      <c r="AG5" s="100">
        <f>((AW5-AV5)+(AX5-AW5))/2</f>
        <v>-0.26499999999999996</v>
      </c>
      <c r="AH5" s="84"/>
      <c r="AI5" s="100">
        <f>RSQ(AV5:AX5,AV4:AX4)</f>
        <v>0.85990885663636107</v>
      </c>
      <c r="AJ5" s="105">
        <f>SLOPE(AV5:AX5,AV4:AX4)</f>
        <v>-7.9702578461173544E-7</v>
      </c>
      <c r="AK5" s="100">
        <f>INTERCEPT(AV5:AX5,AV4:AX4)</f>
        <v>1.3300021192831564</v>
      </c>
      <c r="AL5" s="100">
        <f>INDEX(LINEST(LN(AV5:AX5),LN(AV4:AX4),TRUE,TRUE),3,1)</f>
        <v>0.91609823248729216</v>
      </c>
      <c r="AM5" s="100">
        <f>INDEX(LINEST(LN(AV5:AX5),LN(AV4:AX4)),1)</f>
        <v>-5.5457948701854352E-2</v>
      </c>
      <c r="AN5" s="100">
        <f>EXP(INDEX(LINEST(LN(AV5:AX5),LN(AV4:AX4)),1,2))</f>
        <v>1.9582454304301427</v>
      </c>
      <c r="AO5" s="104">
        <f>INDEX(LINEST((AV5:AX5),LN(AV4:AX4),TRUE,TRUE),3,1)</f>
        <v>0.94856888179893706</v>
      </c>
      <c r="AP5" s="104">
        <f>INDEX(LINEST((AV5:AX5),LN(AV4:AX4)),1)</f>
        <v>-6.3894315861153031E-2</v>
      </c>
      <c r="AQ5" s="48">
        <f>INDEX(LINEST(LN(AV5:AX5),SQRT(AV4:AX4),TRUE,TRUE),3,1)</f>
        <v>0.99770051919906433</v>
      </c>
      <c r="AR5" s="56">
        <f>INDEX(LINEST(LN(AV5:AX5),SQRT((AV4:AX4))),1)</f>
        <v>-6.2081618972226367E-4</v>
      </c>
      <c r="AS5" s="49">
        <f>INDEX(LINEST(1/(AV5:AX5),1/(SQRT(AV4:AX4)),TRUE,TRUE),3,1)</f>
        <v>0.77201915301411728</v>
      </c>
      <c r="AT5" s="49">
        <f>INDEX(LINEST(1/(AV5:AX5),1/SQRT(AV4:AX4)),1)</f>
        <v>-5.8148757091808729</v>
      </c>
      <c r="AU5" s="63"/>
      <c r="AV5" s="108">
        <v>1.41</v>
      </c>
      <c r="AW5" s="108">
        <v>1.08</v>
      </c>
      <c r="AX5" s="108">
        <v>0.88</v>
      </c>
      <c r="AY5" s="108"/>
      <c r="AZ5" s="108"/>
      <c r="BA5" s="108"/>
      <c r="BB5" s="108"/>
      <c r="BC5" s="108"/>
      <c r="BD5" s="108"/>
      <c r="BE5" s="108"/>
      <c r="BF5" s="108"/>
      <c r="BG5" s="108"/>
      <c r="BH5" s="108"/>
      <c r="BI5" s="108"/>
      <c r="BJ5" s="108"/>
      <c r="BK5" s="108"/>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2"/>
      <c r="CS5" s="92"/>
      <c r="CT5" s="92"/>
      <c r="CU5" s="92"/>
    </row>
    <row r="6" spans="1:99" ht="12" customHeight="1" x14ac:dyDescent="0.2">
      <c r="A6" s="37">
        <v>43509</v>
      </c>
      <c r="B6" s="11"/>
      <c r="C6" s="11"/>
      <c r="D6" s="31"/>
      <c r="E6" s="40"/>
      <c r="F6" s="31"/>
      <c r="G6" s="31"/>
      <c r="H6" s="31"/>
      <c r="I6" s="31"/>
      <c r="J6" s="31"/>
      <c r="M6" s="31"/>
      <c r="N6" s="31"/>
      <c r="O6" s="31"/>
      <c r="P6" s="31"/>
      <c r="Q6" s="31"/>
      <c r="R6" s="32"/>
      <c r="S6" s="31"/>
      <c r="T6" s="31"/>
      <c r="U6" s="32"/>
      <c r="V6" s="31"/>
      <c r="W6" s="32"/>
      <c r="X6" s="31"/>
      <c r="Y6" s="41"/>
      <c r="Z6" s="31"/>
      <c r="AA6" s="31"/>
      <c r="AB6" s="32"/>
      <c r="AC6" s="32"/>
      <c r="AD6" s="32"/>
      <c r="AE6" s="32"/>
      <c r="AF6" s="45"/>
      <c r="AG6" s="28"/>
      <c r="AH6" s="4"/>
      <c r="AI6" s="27"/>
      <c r="AJ6" s="52"/>
      <c r="AK6" s="27"/>
      <c r="AL6" s="27"/>
      <c r="AM6" s="27"/>
      <c r="AN6" s="27"/>
      <c r="AO6" s="27"/>
      <c r="AP6" s="27"/>
      <c r="AQ6" s="27"/>
      <c r="AR6" s="52"/>
      <c r="AS6" s="27"/>
      <c r="AT6" s="27"/>
      <c r="AU6" s="3"/>
      <c r="AV6" s="24">
        <v>300</v>
      </c>
      <c r="AW6" s="24">
        <f>2*24*3600</f>
        <v>172800</v>
      </c>
      <c r="AX6" s="24">
        <f>7*24*3600</f>
        <v>604800</v>
      </c>
      <c r="AY6" s="7" t="s">
        <v>111</v>
      </c>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11"/>
      <c r="CS6" s="11"/>
      <c r="CT6" s="11"/>
      <c r="CU6" s="11"/>
    </row>
    <row r="7" spans="1:99" ht="12" customHeight="1" x14ac:dyDescent="0.2">
      <c r="A7" s="37">
        <v>43509</v>
      </c>
      <c r="B7" s="10" t="s">
        <v>73</v>
      </c>
      <c r="C7" s="11" t="s">
        <v>36</v>
      </c>
      <c r="D7" s="31">
        <v>1987</v>
      </c>
      <c r="E7" s="40">
        <v>1</v>
      </c>
      <c r="F7" s="31">
        <v>59</v>
      </c>
      <c r="G7" s="31">
        <v>19.7</v>
      </c>
      <c r="H7" s="31" t="s">
        <v>14</v>
      </c>
      <c r="I7" s="31"/>
      <c r="J7" s="31" t="s">
        <v>60</v>
      </c>
      <c r="K7" s="32">
        <f>IF(J7="syllables",1,IF(J7="trigrams",2,IF(J7="strings",3,IF(J7="visual array",4,IF(J7="characters",5,IF(J7="letters",6,IF(J7="free forms",7,IF(J7="odors",8,IF(J7="words",9,IF(J7="pictures",10,IF(J7="object pictures",11,IF(J7="faces",12,IF(J7="names",13,IF(J7="idioms",14,IF(J7="grades",15,IF(J7="syllable-digit pairs",16,IF(J7="trigram-word pairs",17,IF(J7="word-digit pairs",18,IF(J7="English-Swahili pairs",19,IF(J7="spatial position",20,IF(J7="word pairs",21,IF(J7="word triads",22,IF(J7="generated words",23,IF(J7="word definition pairs",24,IF(J7="math problems",25,IF(J7="famous faces",26,IF(J7="famous names",27,IF(J7="famous voices",28,IF(J7="television programs",29,IF(J7="race horses",30,IF(J7="new vocabulary",31,IF(J7="sentences",32,IF(J7="concepts",33,IF(J7="ad slides",34,IF(J7="scenes",35,IF(J7="famous scenes",36,IF(J7="poems",37,IF(J7="walk",38,IF(J7="faces and events",39,IF(J7="events and names",40,IF(J7="flashbulb",41,IF(J7="stories",42,IF(J7="course material",43,IF(J7="autobiographical",44,IF(J7="novels",45,IF(J7="public events",46,"99"))))))))))))))))))))))))))))))))))))))))))))))</f>
        <v>12</v>
      </c>
      <c r="L7" s="32">
        <f>IF(J7="syllables",1,IF(J7="trigrams",1,IF(J7="strings",1,IF(J7="visual array",1,IF(J7="characters",1,IF(J7="letters",1,IF(J7="free forms",1,IF(J7="odors",2,IF(J7="words",2,IF(J7="pictures",2,IF(J7="object pictures",2,IF(J7="faces",2,IF(J7="names",2,IF(J7="idioms","2",IF(J7="grades",2,IF(J7="syllable-digit pairs",3,IF(J7="trigram-word pairs",3,IF(J7="word-digit pairs",3,IF(J7="English-Swahili pairs",3,IF(J7="spatial position",3,IF(J7="word pairs",4,IF(J7="word triads",4,IF(J7="generated words",4,IF(J7="word definition pairs",4,IF(J7="math problems",4,IF(J7="famous faces",4,IF(J7="famous names",4,IF(J7="famous voices",4,IF(J7="television programs",4,IF(J7="race horses",4,IF(J7="new vocabulary",4,IF(J7="sentences",5,IF(J7="concepts",5,IF(J7="ad slides",5,IF(J7="scenes",5,IF(J7="famous scenes",5,IF(J7="poems",6,IF(J7="walk",6,IF(J7="faces and events",6,IF(J7="events and names",6,IF(J7="flashbulb",7,IF(J7="stories",7,IF(J7="course material",7,IF(J7="autobiographical",7,IF(J7="novels",7,IF(J7="public events",7,"99"))))))))))))))))))))))))))))))))))))))))))))))</f>
        <v>2</v>
      </c>
      <c r="M7" s="31">
        <v>0</v>
      </c>
      <c r="N7" s="31">
        <v>1</v>
      </c>
      <c r="O7" s="31">
        <v>0</v>
      </c>
      <c r="P7" s="31"/>
      <c r="Q7" s="31" t="s">
        <v>18</v>
      </c>
      <c r="R7" s="32">
        <f>IF(Q7="Free Recall",1,IF(Q7="Cued Recall",2,IF(Q7="Recognition",3,IF(Q7="Multiple Choice",4,IF(Q7="Savings",5,IF(Q7="Stem Completion",6,IF(Q7="Fragment Completion",7,IF(Q7="anagram solution",8,IF(Q7="Matching",9,IF(Q7="Problem Solving",10,"99"))))))))))</f>
        <v>3</v>
      </c>
      <c r="S7" s="31" t="s">
        <v>196</v>
      </c>
      <c r="T7" s="31" t="s">
        <v>72</v>
      </c>
      <c r="U7" s="32">
        <f>IF(T7="within",1,0)</f>
        <v>0</v>
      </c>
      <c r="V7" s="31">
        <v>32</v>
      </c>
      <c r="W7" s="32">
        <f>F7*V7</f>
        <v>1888</v>
      </c>
      <c r="X7" s="31">
        <v>3</v>
      </c>
      <c r="Y7" s="41">
        <f>AV6</f>
        <v>300</v>
      </c>
      <c r="Z7" s="31" t="s">
        <v>41</v>
      </c>
      <c r="AA7" s="31">
        <f>7*24*3600</f>
        <v>604800</v>
      </c>
      <c r="AB7" s="32" t="str">
        <f>IF(AA7&lt;60,"1",IF(AA7&lt;=43200,"2",IF(AA7&lt;=777600,"3","4")))</f>
        <v>3</v>
      </c>
      <c r="AC7" s="28">
        <f>AVERAGE(AV6:DA6)</f>
        <v>259300</v>
      </c>
      <c r="AD7" s="32" t="str">
        <f>IF(AC7&lt;60,"1",IF(AC7&lt;=43200,"2",IF(AC7&lt;=777600,"3","4")))</f>
        <v>3</v>
      </c>
      <c r="AE7" s="41">
        <f>AA7-Y7</f>
        <v>604500</v>
      </c>
      <c r="AF7" s="45">
        <f>AV7</f>
        <v>1.728962201966135</v>
      </c>
      <c r="AG7" s="28">
        <f>((AW7-AV7)+(AX7-AW7))/2</f>
        <v>-0.26016881988654439</v>
      </c>
      <c r="AH7" s="4"/>
      <c r="AI7" s="28">
        <f>RSQ(AV7:AX7,AV6:AX6)</f>
        <v>0.94314848170947807</v>
      </c>
      <c r="AJ7" s="51">
        <f>SLOPE(AV7:AX7,AV6:AX6)</f>
        <v>-8.1139982228933265E-7</v>
      </c>
      <c r="AK7" s="28">
        <f>INTERCEPT(AV7:AX7,AV6:AX6)</f>
        <v>1.6795190508529032</v>
      </c>
      <c r="AL7" s="28">
        <f>INDEX(LINEST(LN(AV7:AX7),LN(AV6:AX6),TRUE,TRUE),3,1)</f>
        <v>0.83150795455845461</v>
      </c>
      <c r="AM7" s="28">
        <f>INDEX(LINEST(LN(AV7:AX7),LN(AV6:AX6)),1)</f>
        <v>-4.0070556100340063E-2</v>
      </c>
      <c r="AN7" s="28">
        <f>EXP(INDEX(LINEST(LN(AV7:AX7),LN(AV6:AX6)),1,2))</f>
        <v>2.2014615144976744</v>
      </c>
      <c r="AO7" s="47">
        <f>INDEX(LINEST((AV7:AX7),LN(AV6:AX6),TRUE,TRUE),3,1)</f>
        <v>0.86812080191164687</v>
      </c>
      <c r="AP7" s="47">
        <f>INDEX(LINEST((AV7:AX7),LN(AV6:AX6)),1)</f>
        <v>-5.9417801957902007E-2</v>
      </c>
      <c r="AQ7" s="48">
        <f>INDEX(LINEST(LN(AV7:AX7),SQRT(AV6:AX6),TRUE,TRUE),3,1)</f>
        <v>0.99343119033100502</v>
      </c>
      <c r="AR7" s="56">
        <f>INDEX(LINEST(LN(AV7:AX7),SQRT((AV6:AX6))),1)</f>
        <v>-4.6981969317761986E-4</v>
      </c>
      <c r="AS7" s="49">
        <f>INDEX(LINEST(1/(AV7:AX7),1/(SQRT(AV6:AX6)),TRUE,TRUE),3,1)</f>
        <v>0.67157507956831464</v>
      </c>
      <c r="AT7" s="49">
        <f>INDEX(LINEST(1/(AV7:AX7),1/SQRT(AV6:AX6)),1)</f>
        <v>-3.178673405063615</v>
      </c>
      <c r="AU7" s="3"/>
      <c r="AV7" s="7">
        <v>1.728962201966135</v>
      </c>
      <c r="AW7" s="7">
        <v>1.4697824666406569</v>
      </c>
      <c r="AX7" s="7">
        <v>1.2086245621930463</v>
      </c>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11"/>
      <c r="CS7" s="11"/>
      <c r="CT7" s="11"/>
      <c r="CU7" s="11"/>
    </row>
    <row r="8" spans="1:99" s="9" customFormat="1" ht="12" customHeight="1" x14ac:dyDescent="0.2">
      <c r="A8" s="37">
        <v>43899</v>
      </c>
      <c r="B8" s="1"/>
      <c r="C8" s="1"/>
      <c r="D8" s="32"/>
      <c r="E8" s="41"/>
      <c r="F8" s="32"/>
      <c r="G8" s="32"/>
      <c r="H8" s="32"/>
      <c r="I8" s="39"/>
      <c r="J8" s="32"/>
      <c r="K8" s="36"/>
      <c r="L8" s="36"/>
      <c r="M8" s="32"/>
      <c r="N8" s="33"/>
      <c r="O8" s="32"/>
      <c r="P8" s="32"/>
      <c r="Q8" s="32"/>
      <c r="R8" s="32"/>
      <c r="S8" s="32"/>
      <c r="T8" s="32"/>
      <c r="U8" s="32"/>
      <c r="V8" s="32"/>
      <c r="W8" s="32"/>
      <c r="X8" s="32"/>
      <c r="Y8" s="41"/>
      <c r="Z8" s="32"/>
      <c r="AA8" s="32"/>
      <c r="AB8" s="32"/>
      <c r="AC8" s="28"/>
      <c r="AD8" s="32"/>
      <c r="AE8" s="32"/>
      <c r="AF8" s="45"/>
      <c r="AG8" s="28"/>
      <c r="AH8" s="4"/>
      <c r="AI8" s="28"/>
      <c r="AJ8" s="51"/>
      <c r="AK8" s="28"/>
      <c r="AL8" s="28"/>
      <c r="AM8" s="28"/>
      <c r="AN8" s="28"/>
      <c r="AO8" s="47"/>
      <c r="AP8" s="47"/>
      <c r="AQ8" s="48"/>
      <c r="AR8" s="56"/>
      <c r="AS8" s="49"/>
      <c r="AT8" s="49"/>
      <c r="AU8" s="3"/>
      <c r="AV8" s="18">
        <v>3600</v>
      </c>
      <c r="AW8" s="18">
        <v>172800</v>
      </c>
      <c r="AX8" s="18">
        <v>604800</v>
      </c>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1"/>
      <c r="CS8" s="1"/>
      <c r="CT8" s="1"/>
      <c r="CU8" s="1"/>
    </row>
    <row r="9" spans="1:99" s="9" customFormat="1" ht="12" customHeight="1" x14ac:dyDescent="0.25">
      <c r="A9" s="37">
        <v>43899</v>
      </c>
      <c r="B9" s="1" t="s">
        <v>93</v>
      </c>
      <c r="C9" s="1" t="s">
        <v>42</v>
      </c>
      <c r="D9" s="32">
        <v>1994</v>
      </c>
      <c r="E9" s="40">
        <v>1</v>
      </c>
      <c r="F9" s="32">
        <v>36</v>
      </c>
      <c r="G9" s="32">
        <v>12</v>
      </c>
      <c r="H9" s="32" t="s">
        <v>22</v>
      </c>
      <c r="I9" s="39" t="s">
        <v>94</v>
      </c>
      <c r="J9" s="32" t="s">
        <v>31</v>
      </c>
      <c r="K9" s="32">
        <f>IF(J9="syllables",1,IF(J9="trigrams",2,IF(J9="strings",3,IF(J9="visual array",4,IF(J9="characters",5,IF(J9="letters",6,IF(J9="free forms",7,IF(J9="odors",8,IF(J9="words",9,IF(J9="pictures",10,IF(J9="object pictures",11,IF(J9="faces",12,IF(J9="names",13,IF(J9="idioms",14,IF(J9="grades",15,IF(J9="syllable-digit pairs",16,IF(J9="trigram-word pairs",17,IF(J9="word-digit pairs",18,IF(J9="English-Swahili pairs",19,IF(J9="spatial position",20,IF(J9="word pairs",21,IF(J9="word triads",22,IF(J9="generated words",23,IF(J9="word definition pairs",24,IF(J9="math problems",25,IF(J9="famous faces",26,IF(J9="famous names",27,IF(J9="famous voices",28,IF(J9="television programs",29,IF(J9="race horses",30,IF(J9="new vocabulary",31,IF(J9="sentences",32,IF(J9="concepts",33,IF(J9="ad slides",34,IF(J9="scenes",35,IF(J9="famous scenes",36,IF(J9="poems",37,IF(J9="walk",38,IF(J9="faces and events",39,IF(J9="events and names",40,IF(J9="flashbulb",41,IF(J9="stories",42,IF(J9="course material",43,IF(J9="autobiographical",44,IF(J9="novels",45,IF(J9="public events",46,"99"))))))))))))))))))))))))))))))))))))))))))))))</f>
        <v>42</v>
      </c>
      <c r="L9" s="32">
        <f>IF(J9="syllables",1,IF(J9="trigrams",1,IF(J9="strings",1,IF(J9="visual array",1,IF(J9="characters",1,IF(J9="letters",1,IF(J9="free forms",1,IF(J9="odors",2,IF(J9="words",2,IF(J9="pictures",2,IF(J9="object pictures",2,IF(J9="faces",2,IF(J9="names",2,IF(J9="idioms","2",IF(J9="grades",2,IF(J9="syllable-digit pairs",3,IF(J9="trigram-word pairs",3,IF(J9="word-digit pairs",3,IF(J9="English-Swahili pairs",3,IF(J9="spatial position",3,IF(J9="word pairs",4,IF(J9="word triads",4,IF(J9="generated words",4,IF(J9="word definition pairs",4,IF(J9="math problems",4,IF(J9="famous faces",4,IF(J9="famous names",4,IF(J9="famous voices",4,IF(J9="television programs",4,IF(J9="race horses",4,IF(J9="new vocabulary",4,IF(J9="sentences",5,IF(J9="concepts",5,IF(J9="ad slides",5,IF(J9="scenes",5,IF(J9="famous scenes",5,IF(J9="poems",6,IF(J9="walk",6,IF(J9="faces and events",6,IF(J9="events and names",6,IF(J9="flashbulb",7,IF(J9="stories",7,IF(J9="course material",7,IF(J9="autobiographical",7,IF(J9="novels",7,IF(J9="public events",7,"99"))))))))))))))))))))))))))))))))))))))))))))))</f>
        <v>7</v>
      </c>
      <c r="M9" s="32">
        <v>0</v>
      </c>
      <c r="N9" s="33">
        <v>3</v>
      </c>
      <c r="O9" s="32">
        <v>0</v>
      </c>
      <c r="P9" s="32"/>
      <c r="Q9" s="32" t="s">
        <v>18</v>
      </c>
      <c r="R9" s="32">
        <f>IF(Q9="Free Recall",1,IF(Q9="Cued Recall",2,IF(Q9="Recognition",3,IF(Q9="Multiple Choice",4,IF(Q9="Savings",5,IF(Q9="Stem Completion",6,IF(Q9="Fragment Completion",7,IF(Q9="anagram solution",8,IF(Q9="Matching",9,IF(Q9="Problem Solving",10,"99"))))))))))</f>
        <v>3</v>
      </c>
      <c r="S9" s="96" t="s">
        <v>196</v>
      </c>
      <c r="T9" s="31" t="s">
        <v>72</v>
      </c>
      <c r="U9" s="32">
        <f>IF(T9="within",1,0)</f>
        <v>0</v>
      </c>
      <c r="V9" s="31">
        <v>18</v>
      </c>
      <c r="W9" s="32">
        <f>F9*V9</f>
        <v>648</v>
      </c>
      <c r="X9" s="32">
        <v>3</v>
      </c>
      <c r="Y9" s="41">
        <f>AV8</f>
        <v>3600</v>
      </c>
      <c r="Z9" s="32" t="s">
        <v>41</v>
      </c>
      <c r="AA9" s="32">
        <v>604800</v>
      </c>
      <c r="AB9" s="32" t="str">
        <f>IF(AA9&lt;60,"1",IF(AA9&lt;=43200,"2",IF(AA9&lt;=777600,"3","4")))</f>
        <v>3</v>
      </c>
      <c r="AC9" s="28">
        <f>AVERAGE(AV8:DA8)</f>
        <v>260400</v>
      </c>
      <c r="AD9" s="32" t="str">
        <f>IF(AC9&lt;60,"1",IF(AC9&lt;=43200,"2",IF(AC9&lt;=777600,"3","4")))</f>
        <v>3</v>
      </c>
      <c r="AE9" s="41">
        <f>AA9-Y9</f>
        <v>601200</v>
      </c>
      <c r="AF9" s="45">
        <f>AV9</f>
        <v>1.5117115954463691</v>
      </c>
      <c r="AG9" s="28">
        <f>((AW9-AV9)+(AX9-AW9))/2</f>
        <v>-0.48112108723980856</v>
      </c>
      <c r="AH9" s="4"/>
      <c r="AI9" s="28">
        <f>RSQ(AV9:AX9,AV8:AX8)</f>
        <v>0.79805577907283121</v>
      </c>
      <c r="AJ9" s="51">
        <f>SLOPE(AV9:AX9,AV8:AX8)</f>
        <v>-1.4202323461422935E-6</v>
      </c>
      <c r="AK9" s="28">
        <f>INTERCEPT(AV9:AX9,AV8:AX8)</f>
        <v>1.3386351365847495</v>
      </c>
      <c r="AL9" s="28">
        <f>INDEX(LINEST(LN(AV9:AX9),LN(AV8:AX8),TRUE,TRUE),3,1)</f>
        <v>0.96008946112097304</v>
      </c>
      <c r="AM9" s="28">
        <f>INDEX(LINEST(LN(AV9:AX9),LN(AV8:AX8)),1)</f>
        <v>-0.1863050867167925</v>
      </c>
      <c r="AN9" s="28">
        <f>EXP(INDEX(LINEST(LN(AV9:AX9),LN(AV8:AX8)),1,2))</f>
        <v>7.1442718282128528</v>
      </c>
      <c r="AO9" s="47">
        <f>INDEX(LINEST((AV9:AX9),LN(AV8:AX8),TRUE,TRUE),3,1)</f>
        <v>0.9953782742276045</v>
      </c>
      <c r="AP9" s="47">
        <f>INDEX(LINEST((AV9:AX9),LN(AV8:AX8)),1)</f>
        <v>-0.18409154679495834</v>
      </c>
      <c r="AQ9" s="48">
        <f>INDEX(LINEST(LN(AV9:AX9),SQRT(AV8:AX8),TRUE,TRUE),3,1)</f>
        <v>0.99177095501254231</v>
      </c>
      <c r="AR9" s="56">
        <f>INDEX(LINEST(LN(AV9:AX9),SQRT((AV8:AX8))),1)</f>
        <v>-1.4094928405702406E-3</v>
      </c>
      <c r="AS9" s="49">
        <f>INDEX(LINEST(1/(AV9:AX9),1/(SQRT(AV8:AX8)),TRUE,TRUE),3,1)</f>
        <v>0.75686528851716639</v>
      </c>
      <c r="AT9" s="49">
        <f>INDEX(LINEST(1/(AV9:AX9),1/SQRT(AV8:AX8)),1)</f>
        <v>-58.860521152408815</v>
      </c>
      <c r="AU9" s="3"/>
      <c r="AV9" s="75">
        <v>1.5117115954463691</v>
      </c>
      <c r="AW9" s="75">
        <v>0.8452388845347677</v>
      </c>
      <c r="AX9" s="75">
        <v>0.549469420966752</v>
      </c>
      <c r="AY9" s="25"/>
      <c r="AZ9" s="57"/>
      <c r="BA9" s="57"/>
      <c r="BB9" s="57"/>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1"/>
      <c r="CS9" s="1"/>
      <c r="CT9" s="1"/>
      <c r="CU9" s="1"/>
    </row>
    <row r="10" spans="1:99" s="9" customFormat="1" ht="12" customHeight="1" x14ac:dyDescent="0.2">
      <c r="A10" s="37">
        <v>43899</v>
      </c>
      <c r="B10" s="1"/>
      <c r="C10" s="1"/>
      <c r="D10" s="32"/>
      <c r="E10" s="41"/>
      <c r="F10" s="32"/>
      <c r="G10" s="32"/>
      <c r="H10" s="32"/>
      <c r="I10" s="39"/>
      <c r="J10" s="32"/>
      <c r="K10" s="36"/>
      <c r="L10" s="36"/>
      <c r="M10" s="32"/>
      <c r="N10" s="33"/>
      <c r="O10" s="32"/>
      <c r="P10" s="32"/>
      <c r="Q10" s="32"/>
      <c r="R10" s="32"/>
      <c r="S10" s="96"/>
      <c r="T10" s="32"/>
      <c r="U10" s="32"/>
      <c r="V10" s="32"/>
      <c r="W10" s="32"/>
      <c r="X10" s="32"/>
      <c r="Y10" s="41"/>
      <c r="Z10" s="32"/>
      <c r="AA10" s="32"/>
      <c r="AB10" s="32"/>
      <c r="AC10" s="28"/>
      <c r="AD10" s="32"/>
      <c r="AE10" s="32"/>
      <c r="AF10" s="45"/>
      <c r="AG10" s="28"/>
      <c r="AH10" s="4"/>
      <c r="AI10" s="28"/>
      <c r="AJ10" s="51"/>
      <c r="AK10" s="28"/>
      <c r="AL10" s="28"/>
      <c r="AM10" s="28"/>
      <c r="AN10" s="28"/>
      <c r="AO10" s="47"/>
      <c r="AP10" s="47"/>
      <c r="AQ10" s="48"/>
      <c r="AR10" s="56"/>
      <c r="AS10" s="49"/>
      <c r="AT10" s="49"/>
      <c r="AU10" s="3"/>
      <c r="AV10" s="18">
        <v>3600</v>
      </c>
      <c r="AW10" s="18">
        <v>172800</v>
      </c>
      <c r="AX10" s="18">
        <v>604800</v>
      </c>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1"/>
      <c r="CS10" s="1"/>
      <c r="CT10" s="1"/>
      <c r="CU10" s="1"/>
    </row>
    <row r="11" spans="1:99" s="9" customFormat="1" ht="12" customHeight="1" x14ac:dyDescent="0.2">
      <c r="A11" s="37">
        <v>43899</v>
      </c>
      <c r="B11" s="1" t="s">
        <v>93</v>
      </c>
      <c r="C11" s="1" t="s">
        <v>42</v>
      </c>
      <c r="D11" s="32">
        <v>1994</v>
      </c>
      <c r="E11" s="40">
        <v>1</v>
      </c>
      <c r="F11" s="32">
        <v>36</v>
      </c>
      <c r="G11" s="32">
        <v>12</v>
      </c>
      <c r="H11" s="32" t="s">
        <v>22</v>
      </c>
      <c r="I11" s="39" t="s">
        <v>95</v>
      </c>
      <c r="J11" s="32" t="s">
        <v>31</v>
      </c>
      <c r="K11" s="32">
        <f>IF(J11="syllables",1,IF(J11="trigrams",2,IF(J11="strings",3,IF(J11="visual array",4,IF(J11="characters",5,IF(J11="letters",6,IF(J11="free forms",7,IF(J11="odors",8,IF(J11="words",9,IF(J11="pictures",10,IF(J11="object pictures",11,IF(J11="faces",12,IF(J11="names",13,IF(J11="idioms",14,IF(J11="grades",15,IF(J11="syllable-digit pairs",16,IF(J11="trigram-word pairs",17,IF(J11="word-digit pairs",18,IF(J11="English-Swahili pairs",19,IF(J11="spatial position",20,IF(J11="word pairs",21,IF(J11="word triads",22,IF(J11="generated words",23,IF(J11="word definition pairs",24,IF(J11="math problems",25,IF(J11="famous faces",26,IF(J11="famous names",27,IF(J11="famous voices",28,IF(J11="television programs",29,IF(J11="race horses",30,IF(J11="new vocabulary",31,IF(J11="sentences",32,IF(J11="concepts",33,IF(J11="ad slides",34,IF(J11="scenes",35,IF(J11="famous scenes",36,IF(J11="poems",37,IF(J11="walk",38,IF(J11="faces and events",39,IF(J11="events and names",40,IF(J11="flashbulb",41,IF(J11="stories",42,IF(J11="course material",43,IF(J11="autobiographical",44,IF(J11="novels",45,IF(J11="public events",46,"99"))))))))))))))))))))))))))))))))))))))))))))))</f>
        <v>42</v>
      </c>
      <c r="L11" s="32">
        <f>IF(J11="syllables",1,IF(J11="trigrams",1,IF(J11="strings",1,IF(J11="visual array",1,IF(J11="characters",1,IF(J11="letters",1,IF(J11="free forms",1,IF(J11="odors",2,IF(J11="words",2,IF(J11="pictures",2,IF(J11="object pictures",2,IF(J11="faces",2,IF(J11="names",2,IF(J11="idioms","2",IF(J11="grades",2,IF(J11="syllable-digit pairs",3,IF(J11="trigram-word pairs",3,IF(J11="word-digit pairs",3,IF(J11="English-Swahili pairs",3,IF(J11="spatial position",3,IF(J11="word pairs",4,IF(J11="word triads",4,IF(J11="generated words",4,IF(J11="word definition pairs",4,IF(J11="math problems",4,IF(J11="famous faces",4,IF(J11="famous names",4,IF(J11="famous voices",4,IF(J11="television programs",4,IF(J11="race horses",4,IF(J11="new vocabulary",4,IF(J11="sentences",5,IF(J11="concepts",5,IF(J11="ad slides",5,IF(J11="scenes",5,IF(J11="famous scenes",5,IF(J11="poems",6,IF(J11="walk",6,IF(J11="faces and events",6,IF(J11="events and names",6,IF(J11="flashbulb",7,IF(J11="stories",7,IF(J11="course material",7,IF(J11="autobiographical",7,IF(J11="novels",7,IF(J11="public events",7,"99"))))))))))))))))))))))))))))))))))))))))))))))</f>
        <v>7</v>
      </c>
      <c r="M11" s="32">
        <v>0</v>
      </c>
      <c r="N11" s="33">
        <v>3</v>
      </c>
      <c r="O11" s="32">
        <v>0</v>
      </c>
      <c r="P11" s="32"/>
      <c r="Q11" s="32" t="s">
        <v>18</v>
      </c>
      <c r="R11" s="32">
        <f>IF(Q11="Free Recall",1,IF(Q11="Cued Recall",2,IF(Q11="Recognition",3,IF(Q11="Multiple Choice",4,IF(Q11="Savings",5,IF(Q11="Stem Completion",6,IF(Q11="Fragment Completion",7,IF(Q11="anagram solution",8,IF(Q11="Matching",9,IF(Q11="Problem Solving",10,"99"))))))))))</f>
        <v>3</v>
      </c>
      <c r="S11" s="96" t="s">
        <v>196</v>
      </c>
      <c r="T11" s="31" t="s">
        <v>72</v>
      </c>
      <c r="U11" s="32">
        <f>IF(T11="within",1,0)</f>
        <v>0</v>
      </c>
      <c r="V11" s="31">
        <v>18</v>
      </c>
      <c r="W11" s="32">
        <f>F11*V11</f>
        <v>648</v>
      </c>
      <c r="X11" s="32">
        <v>3</v>
      </c>
      <c r="Y11" s="41">
        <f>AV10</f>
        <v>3600</v>
      </c>
      <c r="Z11" s="32" t="s">
        <v>41</v>
      </c>
      <c r="AA11" s="32">
        <v>604800</v>
      </c>
      <c r="AB11" s="32" t="str">
        <f>IF(AA11&lt;60,"1",IF(AA11&lt;=43200,"2",IF(AA11&lt;=777600,"3","4")))</f>
        <v>3</v>
      </c>
      <c r="AC11" s="28">
        <f>AVERAGE(AV10:DA10)</f>
        <v>260400</v>
      </c>
      <c r="AD11" s="32" t="str">
        <f>IF(AC11&lt;60,"1",IF(AC11&lt;=43200,"2",IF(AC11&lt;=777600,"3","4")))</f>
        <v>3</v>
      </c>
      <c r="AE11" s="41">
        <f>AA11-Y11</f>
        <v>601200</v>
      </c>
      <c r="AF11" s="45">
        <f>AV11</f>
        <v>3.280277030668433</v>
      </c>
      <c r="AG11" s="28">
        <f>((AW11-AV11)+(AX11-AW11))/2</f>
        <v>-0.75837333855380196</v>
      </c>
      <c r="AH11" s="4"/>
      <c r="AI11" s="28">
        <f>RSQ(AV11:AX11,AV10:AX10)</f>
        <v>0.63140978095877454</v>
      </c>
      <c r="AJ11" s="51">
        <f>SLOPE(AV11:AX11,AV10:AX10)</f>
        <v>-2.1150350173119778E-6</v>
      </c>
      <c r="AK11" s="28">
        <f>INTERCEPT(AV11:AX11,AV10:AX10)</f>
        <v>2.8848430065395623</v>
      </c>
      <c r="AL11" s="28">
        <f>INDEX(LINEST(LN(AV11:AX11),LN(AV10:AX10),TRUE,TRUE),3,1)</f>
        <v>0.99388971410342841</v>
      </c>
      <c r="AM11" s="28">
        <f>INDEX(LINEST(LN(AV11:AX11),LN(AV10:AX10)),1)</f>
        <v>-0.12398739227197249</v>
      </c>
      <c r="AN11" s="28">
        <f>EXP(INDEX(LINEST(LN(AV11:AX11),LN(AV10:AX10)),1,2))</f>
        <v>8.9906989978999796</v>
      </c>
      <c r="AO11" s="47">
        <f>INDEX(LINEST((AV11:AX11),LN(AV10:AX10),TRUE,TRUE),3,1)</f>
        <v>0.98606622776279484</v>
      </c>
      <c r="AP11" s="47">
        <f>INDEX(LINEST((AV11:AX11),LN(AV10:AX10)),1)</f>
        <v>-0.30676933430138875</v>
      </c>
      <c r="AQ11" s="48">
        <f>INDEX(LINEST(LN(AV11:AX11),SQRT(AV10:AX10),TRUE,TRUE),3,1)</f>
        <v>0.86908816835378344</v>
      </c>
      <c r="AR11" s="56">
        <f>INDEX(LINEST(LN(AV11:AX11),SQRT((AV10:AX10))),1)</f>
        <v>-8.6303551288196612E-4</v>
      </c>
      <c r="AS11" s="49">
        <f>INDEX(LINEST(1/(AV11:AX11),1/(SQRT(AV10:AX10)),TRUE,TRUE),3,1)</f>
        <v>0.98036145109709727</v>
      </c>
      <c r="AT11" s="49">
        <f>INDEX(LINEST(1/(AV11:AX11),1/SQRT(AV10:AX10)),1)</f>
        <v>-15.934231904251849</v>
      </c>
      <c r="AU11" s="3"/>
      <c r="AV11" s="75">
        <v>3.280277030668433</v>
      </c>
      <c r="AW11" s="75">
        <v>1.958456279865308</v>
      </c>
      <c r="AX11" s="75">
        <v>1.7635303535608291</v>
      </c>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1"/>
      <c r="CS11" s="1"/>
      <c r="CT11" s="1"/>
      <c r="CU11" s="1"/>
    </row>
    <row r="12" spans="1:99" s="9" customFormat="1" ht="12" customHeight="1" x14ac:dyDescent="0.2">
      <c r="A12" s="37">
        <v>43899</v>
      </c>
      <c r="B12" s="1"/>
      <c r="C12" s="1"/>
      <c r="D12" s="32"/>
      <c r="E12" s="41"/>
      <c r="F12" s="32"/>
      <c r="G12" s="32"/>
      <c r="H12" s="32"/>
      <c r="I12" s="39"/>
      <c r="J12" s="32"/>
      <c r="K12" s="36"/>
      <c r="L12" s="36"/>
      <c r="M12" s="32"/>
      <c r="N12" s="33"/>
      <c r="O12" s="32"/>
      <c r="P12" s="32"/>
      <c r="Q12" s="32"/>
      <c r="R12" s="32"/>
      <c r="S12" s="32"/>
      <c r="T12" s="32"/>
      <c r="U12" s="32"/>
      <c r="V12" s="32"/>
      <c r="W12" s="32"/>
      <c r="X12" s="32"/>
      <c r="Y12" s="41"/>
      <c r="Z12" s="32"/>
      <c r="AA12" s="32"/>
      <c r="AB12" s="32"/>
      <c r="AC12" s="28"/>
      <c r="AD12" s="32"/>
      <c r="AE12" s="32"/>
      <c r="AF12" s="45"/>
      <c r="AG12" s="28"/>
      <c r="AH12" s="4"/>
      <c r="AI12" s="28"/>
      <c r="AJ12" s="51"/>
      <c r="AK12" s="28"/>
      <c r="AL12" s="28"/>
      <c r="AM12" s="28"/>
      <c r="AN12" s="28"/>
      <c r="AO12" s="47"/>
      <c r="AP12" s="47"/>
      <c r="AQ12" s="48"/>
      <c r="AR12" s="56"/>
      <c r="AS12" s="49"/>
      <c r="AT12" s="49"/>
      <c r="AU12" s="3"/>
      <c r="AV12" s="18">
        <v>3600</v>
      </c>
      <c r="AW12" s="18">
        <v>172800</v>
      </c>
      <c r="AX12" s="18">
        <v>604800</v>
      </c>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1"/>
      <c r="CS12" s="1"/>
      <c r="CT12" s="1"/>
      <c r="CU12" s="1"/>
    </row>
    <row r="13" spans="1:99" s="9" customFormat="1" ht="12" customHeight="1" x14ac:dyDescent="0.2">
      <c r="A13" s="37">
        <v>43899</v>
      </c>
      <c r="B13" s="1" t="s">
        <v>93</v>
      </c>
      <c r="C13" s="1" t="s">
        <v>42</v>
      </c>
      <c r="D13" s="32">
        <v>1994</v>
      </c>
      <c r="E13" s="40">
        <v>1</v>
      </c>
      <c r="F13" s="32">
        <v>36</v>
      </c>
      <c r="G13" s="32">
        <v>12</v>
      </c>
      <c r="H13" s="32" t="s">
        <v>22</v>
      </c>
      <c r="I13" s="39" t="s">
        <v>96</v>
      </c>
      <c r="J13" s="32" t="s">
        <v>31</v>
      </c>
      <c r="K13" s="32">
        <f>IF(J13="syllables",1,IF(J13="trigrams",2,IF(J13="strings",3,IF(J13="visual array",4,IF(J13="characters",5,IF(J13="letters",6,IF(J13="free forms",7,IF(J13="odors",8,IF(J13="words",9,IF(J13="pictures",10,IF(J13="object pictures",11,IF(J13="faces",12,IF(J13="names",13,IF(J13="idioms",14,IF(J13="grades",15,IF(J13="syllable-digit pairs",16,IF(J13="trigram-word pairs",17,IF(J13="word-digit pairs",18,IF(J13="English-Swahili pairs",19,IF(J13="spatial position",20,IF(J13="word pairs",21,IF(J13="word triads",22,IF(J13="generated words",23,IF(J13="word definition pairs",24,IF(J13="math problems",25,IF(J13="famous faces",26,IF(J13="famous names",27,IF(J13="famous voices",28,IF(J13="television programs",29,IF(J13="race horses",30,IF(J13="new vocabulary",31,IF(J13="sentences",32,IF(J13="concepts",33,IF(J13="ad slides",34,IF(J13="scenes",35,IF(J13="famous scenes",36,IF(J13="poems",37,IF(J13="walk",38,IF(J13="faces and events",39,IF(J13="events and names",40,IF(J13="flashbulb",41,IF(J13="stories",42,IF(J13="course material",43,IF(J13="autobiographical",44,IF(J13="novels",45,IF(J13="public events",46,"99"))))))))))))))))))))))))))))))))))))))))))))))</f>
        <v>42</v>
      </c>
      <c r="L13" s="32">
        <f>IF(J13="syllables",1,IF(J13="trigrams",1,IF(J13="strings",1,IF(J13="visual array",1,IF(J13="characters",1,IF(J13="letters",1,IF(J13="free forms",1,IF(J13="odors",2,IF(J13="words",2,IF(J13="pictures",2,IF(J13="object pictures",2,IF(J13="faces",2,IF(J13="names",2,IF(J13="idioms","2",IF(J13="grades",2,IF(J13="syllable-digit pairs",3,IF(J13="trigram-word pairs",3,IF(J13="word-digit pairs",3,IF(J13="English-Swahili pairs",3,IF(J13="spatial position",3,IF(J13="word pairs",4,IF(J13="word triads",4,IF(J13="generated words",4,IF(J13="word definition pairs",4,IF(J13="math problems",4,IF(J13="famous faces",4,IF(J13="famous names",4,IF(J13="famous voices",4,IF(J13="television programs",4,IF(J13="race horses",4,IF(J13="new vocabulary",4,IF(J13="sentences",5,IF(J13="concepts",5,IF(J13="ad slides",5,IF(J13="scenes",5,IF(J13="famous scenes",5,IF(J13="poems",6,IF(J13="walk",6,IF(J13="faces and events",6,IF(J13="events and names",6,IF(J13="flashbulb",7,IF(J13="stories",7,IF(J13="course material",7,IF(J13="autobiographical",7,IF(J13="novels",7,IF(J13="public events",7,"99"))))))))))))))))))))))))))))))))))))))))))))))</f>
        <v>7</v>
      </c>
      <c r="M13" s="32">
        <v>0</v>
      </c>
      <c r="N13" s="33">
        <v>3</v>
      </c>
      <c r="O13" s="32">
        <v>0</v>
      </c>
      <c r="P13" s="32"/>
      <c r="Q13" s="32" t="s">
        <v>18</v>
      </c>
      <c r="R13" s="32">
        <f>IF(Q13="Free Recall",1,IF(Q13="Cued Recall",2,IF(Q13="Recognition",3,IF(Q13="Multiple Choice",4,IF(Q13="Savings",5,IF(Q13="Stem Completion",6,IF(Q13="Fragment Completion",7,IF(Q13="anagram solution",8,IF(Q13="Matching",9,IF(Q13="Problem Solving",10,"99"))))))))))</f>
        <v>3</v>
      </c>
      <c r="S13" s="96" t="s">
        <v>196</v>
      </c>
      <c r="T13" s="31" t="s">
        <v>72</v>
      </c>
      <c r="U13" s="32">
        <f>IF(T13="within",1,0)</f>
        <v>0</v>
      </c>
      <c r="V13" s="31">
        <v>18</v>
      </c>
      <c r="W13" s="32">
        <f>F13*V13</f>
        <v>648</v>
      </c>
      <c r="X13" s="32">
        <v>3</v>
      </c>
      <c r="Y13" s="41">
        <f>AV12</f>
        <v>3600</v>
      </c>
      <c r="Z13" s="32" t="s">
        <v>41</v>
      </c>
      <c r="AA13" s="32">
        <v>604800</v>
      </c>
      <c r="AB13" s="32" t="str">
        <f>IF(AA13&lt;60,"1",IF(AA13&lt;=43200,"2",IF(AA13&lt;=777600,"3","4")))</f>
        <v>3</v>
      </c>
      <c r="AC13" s="28">
        <f>AVERAGE(AV12:DA12)</f>
        <v>260400</v>
      </c>
      <c r="AD13" s="32" t="str">
        <f>IF(AC13&lt;60,"1",IF(AC13&lt;=43200,"2",IF(AC13&lt;=777600,"3","4")))</f>
        <v>3</v>
      </c>
      <c r="AE13" s="41">
        <f>AA13-Y13</f>
        <v>601200</v>
      </c>
      <c r="AF13" s="45">
        <f>AV13</f>
        <v>3.6671029077310568</v>
      </c>
      <c r="AG13" s="28">
        <f>((AW13-AV13)+(AX13-AW13))/2</f>
        <v>-0.93311101424808673</v>
      </c>
      <c r="AH13" s="4"/>
      <c r="AI13" s="28">
        <f>RSQ(AV13:AX13,AV12:AX12)</f>
        <v>0.54831352167540437</v>
      </c>
      <c r="AJ13" s="51">
        <f>SLOPE(AV13:AX13,AV12:AX12)</f>
        <v>-2.5256382616889527E-6</v>
      </c>
      <c r="AK13" s="28">
        <f>INTERCEPT(AV13:AX13,AV12:AX12)</f>
        <v>3.1044555250861094</v>
      </c>
      <c r="AL13" s="28">
        <f>INDEX(LINEST(LN(AV13:AX13),LN(AV12:AX12),TRUE,TRUE),3,1)</f>
        <v>0.9650673391574095</v>
      </c>
      <c r="AM13" s="28">
        <f>INDEX(LINEST(LN(AV13:AX13),LN(AV12:AX12)),1)</f>
        <v>-0.14703792681329769</v>
      </c>
      <c r="AN13" s="28">
        <f>EXP(INDEX(LINEST(LN(AV13:AX13),LN(AV12:AX12)),1,2))</f>
        <v>11.979731181297048</v>
      </c>
      <c r="AO13" s="47">
        <f>INDEX(LINEST((AV13:AX13),LN(AV12:AX12),TRUE,TRUE),3,1)</f>
        <v>0.95939347984535561</v>
      </c>
      <c r="AP13" s="47">
        <f>INDEX(LINEST((AV13:AX13),LN(AV12:AX12)),1)</f>
        <v>-0.38775021165247497</v>
      </c>
      <c r="AQ13" s="48">
        <f>INDEX(LINEST(LN(AV13:AX13),SQRT(AV12:AX12),TRUE,TRUE),3,1)</f>
        <v>0.78677887883336806</v>
      </c>
      <c r="AR13" s="56">
        <f>INDEX(LINEST(LN(AV13:AX13),SQRT((AV12:AX12))),1)</f>
        <v>-9.8824637082585583E-4</v>
      </c>
      <c r="AS13" s="49">
        <f>INDEX(LINEST(1/(AV13:AX13),1/(SQRT(AV12:AX12)),TRUE,TRUE),3,1)</f>
        <v>0.99999579171143316</v>
      </c>
      <c r="AT13" s="49">
        <f>INDEX(LINEST(1/(AV13:AX13),1/SQRT(AV12:AX12)),1)</f>
        <v>-18.354260639475484</v>
      </c>
      <c r="AU13" s="3"/>
      <c r="AV13" s="76">
        <v>3.6671029077310568</v>
      </c>
      <c r="AW13" s="76">
        <v>1.8723541782609783</v>
      </c>
      <c r="AX13" s="76">
        <v>1.8008808792348834</v>
      </c>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1"/>
      <c r="CS13" s="1"/>
      <c r="CT13" s="1"/>
      <c r="CU13" s="1"/>
    </row>
    <row r="14" spans="1:99" s="9" customFormat="1" ht="12" customHeight="1" x14ac:dyDescent="0.2">
      <c r="A14" s="37">
        <v>43509</v>
      </c>
      <c r="B14" s="1"/>
      <c r="C14" s="1"/>
      <c r="D14" s="32"/>
      <c r="E14" s="41"/>
      <c r="F14" s="32"/>
      <c r="G14" s="32"/>
      <c r="H14" s="32"/>
      <c r="I14" s="32"/>
      <c r="J14" s="32"/>
      <c r="K14" s="36"/>
      <c r="L14" s="36"/>
      <c r="M14" s="32"/>
      <c r="N14" s="32"/>
      <c r="O14" s="32"/>
      <c r="P14" s="32"/>
      <c r="Q14" s="32"/>
      <c r="R14" s="32"/>
      <c r="S14" s="32"/>
      <c r="T14" s="32"/>
      <c r="U14" s="32"/>
      <c r="V14" s="32"/>
      <c r="W14" s="32"/>
      <c r="X14" s="32"/>
      <c r="Y14" s="41"/>
      <c r="Z14" s="32"/>
      <c r="AA14" s="32"/>
      <c r="AB14" s="32"/>
      <c r="AC14" s="32"/>
      <c r="AD14" s="32"/>
      <c r="AE14" s="32"/>
      <c r="AF14" s="45"/>
      <c r="AG14" s="28"/>
      <c r="AH14" s="4"/>
      <c r="AI14" s="28"/>
      <c r="AJ14" s="51"/>
      <c r="AK14" s="28"/>
      <c r="AL14" s="28"/>
      <c r="AM14" s="28"/>
      <c r="AN14" s="28"/>
      <c r="AO14" s="28"/>
      <c r="AP14" s="28"/>
      <c r="AQ14" s="28"/>
      <c r="AR14" s="51"/>
      <c r="AS14" s="28"/>
      <c r="AT14" s="28"/>
      <c r="AU14" s="5"/>
      <c r="AV14" s="18">
        <v>62</v>
      </c>
      <c r="AW14" s="18">
        <f>3600*1</f>
        <v>3600</v>
      </c>
      <c r="AX14" s="18">
        <f>3600*24</f>
        <v>86400</v>
      </c>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1"/>
      <c r="CS14" s="1"/>
      <c r="CT14" s="1"/>
      <c r="CU14" s="1"/>
    </row>
    <row r="15" spans="1:99" s="9" customFormat="1" ht="12" customHeight="1" x14ac:dyDescent="0.2">
      <c r="A15" s="37">
        <v>43509</v>
      </c>
      <c r="B15" s="1" t="s">
        <v>38</v>
      </c>
      <c r="C15" s="1" t="s">
        <v>26</v>
      </c>
      <c r="D15" s="32">
        <v>1988</v>
      </c>
      <c r="E15" s="41">
        <v>3</v>
      </c>
      <c r="F15" s="32">
        <v>48</v>
      </c>
      <c r="G15" s="32">
        <v>16</v>
      </c>
      <c r="H15" s="32" t="s">
        <v>15</v>
      </c>
      <c r="I15" s="32" t="s">
        <v>136</v>
      </c>
      <c r="J15" s="32" t="s">
        <v>12</v>
      </c>
      <c r="K15" s="32">
        <f>IF(J15="syllables",1,IF(J15="trigrams",2,IF(J15="strings",3,IF(J15="visual array",4,IF(J15="characters",5,IF(J15="letters",6,IF(J15="free forms",7,IF(J15="odors",8,IF(J15="words",9,IF(J15="pictures",10,IF(J15="object pictures",11,IF(J15="faces",12,IF(J15="names",13,IF(J15="idioms",14,IF(J15="grades",15,IF(J15="syllable-digit pairs",16,IF(J15="trigram-word pairs",17,IF(J15="word-digit pairs",18,IF(J15="English-Swahili pairs",19,IF(J15="spatial position",20,IF(J15="word pairs",21,IF(J15="word triads",22,IF(J15="generated words",23,IF(J15="word definition pairs",24,IF(J15="math problems",25,IF(J15="famous faces",26,IF(J15="famous names",27,IF(J15="famous voices",28,IF(J15="television programs",29,IF(J15="race horses",30,IF(J15="new vocabulary",31,IF(J15="sentences",32,IF(J15="concepts",33,IF(J15="ad slides",34,IF(J15="scenes",35,IF(J15="famous scenes",36,IF(J15="poems",37,IF(J15="walk",38,IF(J15="faces and events",39,IF(J15="events and names",40,IF(J15="flashbulb",41,IF(J15="stories",42,IF(J15="course material",43,IF(J15="autobiographical",44,IF(J15="novels",45,IF(J15="public events",46,"99"))))))))))))))))))))))))))))))))))))))))))))))</f>
        <v>9</v>
      </c>
      <c r="L15" s="32">
        <f>IF(J15="syllables",1,IF(J15="trigrams",1,IF(J15="strings",1,IF(J15="visual array",1,IF(J15="characters",1,IF(J15="letters",1,IF(J15="free forms",1,IF(J15="odors",2,IF(J15="words",2,IF(J15="pictures",2,IF(J15="object pictures",2,IF(J15="faces",2,IF(J15="names",2,IF(J15="idioms","2",IF(J15="grades",2,IF(J15="syllable-digit pairs",3,IF(J15="trigram-word pairs",3,IF(J15="word-digit pairs",3,IF(J15="English-Swahili pairs",3,IF(J15="spatial position",3,IF(J15="word pairs",4,IF(J15="word triads",4,IF(J15="generated words",4,IF(J15="word definition pairs",4,IF(J15="math problems",4,IF(J15="famous faces",4,IF(J15="famous names",4,IF(J15="famous voices",4,IF(J15="television programs",4,IF(J15="race horses",4,IF(J15="new vocabulary",4,IF(J15="sentences",5,IF(J15="concepts",5,IF(J15="ad slides",5,IF(J15="scenes",5,IF(J15="famous scenes",5,IF(J15="poems",6,IF(J15="walk",6,IF(J15="faces and events",6,IF(J15="events and names",6,IF(J15="flashbulb",7,IF(J15="stories",7,IF(J15="course material",7,IF(J15="autobiographical",7,IF(J15="novels",7,IF(J15="public events",7,"99"))))))))))))))))))))))))))))))))))))))))))))))</f>
        <v>2</v>
      </c>
      <c r="M15" s="32">
        <v>0</v>
      </c>
      <c r="N15" s="32">
        <v>1</v>
      </c>
      <c r="O15" s="32">
        <v>0</v>
      </c>
      <c r="P15" s="32"/>
      <c r="Q15" s="32" t="s">
        <v>18</v>
      </c>
      <c r="R15" s="32">
        <f>IF(Q15="Free Recall",1,IF(Q15="Cued Recall",2,IF(Q15="Recognition",3,IF(Q15="Multiple Choice",4,IF(Q15="Savings",5,IF(Q15="Stem Completion",6,IF(Q15="Fragment Completion",7,IF(Q15="anagram solution",8,IF(Q15="Matching",9,IF(Q15="Problem Solving",10,"99"))))))))))</f>
        <v>3</v>
      </c>
      <c r="S15" s="31" t="s">
        <v>196</v>
      </c>
      <c r="T15" s="31" t="s">
        <v>72</v>
      </c>
      <c r="U15" s="32">
        <f>IF(T15="within",1,0)</f>
        <v>0</v>
      </c>
      <c r="V15" s="31">
        <v>27</v>
      </c>
      <c r="W15" s="32">
        <f>F15*V15</f>
        <v>1296</v>
      </c>
      <c r="X15" s="32">
        <v>3</v>
      </c>
      <c r="Y15" s="41">
        <f>AV14</f>
        <v>62</v>
      </c>
      <c r="Z15" s="32" t="s">
        <v>37</v>
      </c>
      <c r="AA15" s="32">
        <v>86400</v>
      </c>
      <c r="AB15" s="32" t="str">
        <f>IF(AA15&lt;60,"1",IF(AA15&lt;=43200,"2",IF(AA15&lt;=777600,"3","4")))</f>
        <v>3</v>
      </c>
      <c r="AC15" s="28">
        <f>AVERAGE(AV14:DA14)</f>
        <v>30020.666666666668</v>
      </c>
      <c r="AD15" s="32" t="str">
        <f>IF(AC15&lt;60,"1",IF(AC15&lt;=43200,"2",IF(AC15&lt;=777600,"3","4")))</f>
        <v>2</v>
      </c>
      <c r="AE15" s="41">
        <f>AA15-Y15</f>
        <v>86338</v>
      </c>
      <c r="AF15" s="45">
        <f>AV15</f>
        <v>2.69</v>
      </c>
      <c r="AG15" s="28">
        <f>((AW15-AV15)+(AX15-AW15))/2</f>
        <v>-0.745</v>
      </c>
      <c r="AH15" s="4"/>
      <c r="AI15" s="28">
        <f>RSQ(AV15:AX15,AV14:AX14)</f>
        <v>0.45221348664819838</v>
      </c>
      <c r="AJ15" s="51">
        <f>SLOPE(AV15:AX15,AV14:AX14)</f>
        <v>-1.0899453744780949E-5</v>
      </c>
      <c r="AK15" s="28">
        <f>INTERCEPT(AV15:AX15,AV14:AX14)</f>
        <v>2.1172088677208207</v>
      </c>
      <c r="AL15" s="28">
        <f>INDEX(LINEST(LN(AV15:AX15),LN(AV14:AX14),TRUE,TRUE),3,1)</f>
        <v>0.96044879000732675</v>
      </c>
      <c r="AM15" s="28">
        <f>INDEX(LINEST(LN(AV15:AX15),LN(AV14:AX14)),1)</f>
        <v>-0.11311780708734026</v>
      </c>
      <c r="AN15" s="28">
        <f>EXP(INDEX(LINEST(LN(AV15:AX15),LN(AV14:AX14)),1,2))</f>
        <v>4.11350285194934</v>
      </c>
      <c r="AO15" s="47">
        <f>INDEX(LINEST((AV15:AX15),LN(AV14:AX14),TRUE,TRUE),3,1)</f>
        <v>0.92598397975793523</v>
      </c>
      <c r="AP15" s="47">
        <f>INDEX(LINEST((AV15:AX15),LN(AV14:AX14)),1)</f>
        <v>-0.20999536965176585</v>
      </c>
      <c r="AQ15" s="48">
        <f>INDEX(LINEST(LN(AV15:AX15),SQRT(AV14:AX14),TRUE,TRUE),3,1)</f>
        <v>0.66027741375325677</v>
      </c>
      <c r="AR15" s="56">
        <f>INDEX(LINEST(LN(AV15:AX15),SQRT((AV14:AX14))),1)</f>
        <v>-2.2338429186627966E-3</v>
      </c>
      <c r="AS15" s="49">
        <f>INDEX(LINEST(1/(AV15:AX15),1/(SQRT(AV14:AX14)),TRUE,TRUE),3,1)</f>
        <v>0.94128558438530763</v>
      </c>
      <c r="AT15" s="49">
        <f>INDEX(LINEST(1/(AV15:AX15),1/SQRT(AV14:AX14)),1)</f>
        <v>-3.3546739166795008</v>
      </c>
      <c r="AU15" s="3"/>
      <c r="AV15" s="25">
        <v>2.69</v>
      </c>
      <c r="AW15" s="25">
        <v>1.48</v>
      </c>
      <c r="AX15" s="25">
        <v>1.2</v>
      </c>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1"/>
      <c r="CS15" s="1"/>
      <c r="CT15" s="1"/>
      <c r="CU15" s="1"/>
    </row>
    <row r="16" spans="1:99" s="9" customFormat="1" ht="12" customHeight="1" x14ac:dyDescent="0.2">
      <c r="A16" s="37">
        <v>43976</v>
      </c>
      <c r="B16" s="1"/>
      <c r="C16" s="1"/>
      <c r="D16" s="32"/>
      <c r="E16" s="41"/>
      <c r="F16" s="32"/>
      <c r="G16" s="32"/>
      <c r="H16" s="32"/>
      <c r="I16" s="32"/>
      <c r="J16" s="32"/>
      <c r="K16" s="32"/>
      <c r="L16" s="32"/>
      <c r="M16" s="32"/>
      <c r="N16" s="32"/>
      <c r="O16" s="32"/>
      <c r="P16" s="32"/>
      <c r="Q16" s="77"/>
      <c r="R16" s="32"/>
      <c r="S16" s="32"/>
      <c r="T16" s="31"/>
      <c r="U16" s="32"/>
      <c r="V16" s="31"/>
      <c r="W16" s="32"/>
      <c r="X16" s="32"/>
      <c r="Y16" s="41"/>
      <c r="Z16" s="32"/>
      <c r="AA16" s="32"/>
      <c r="AB16" s="32"/>
      <c r="AC16" s="28"/>
      <c r="AD16" s="32"/>
      <c r="AE16" s="41"/>
      <c r="AF16" s="45"/>
      <c r="AG16" s="28"/>
      <c r="AH16" s="4"/>
      <c r="AI16" s="28"/>
      <c r="AJ16" s="51"/>
      <c r="AK16" s="28"/>
      <c r="AL16" s="28"/>
      <c r="AM16" s="28"/>
      <c r="AN16" s="28"/>
      <c r="AO16" s="47"/>
      <c r="AP16" s="47"/>
      <c r="AQ16" s="48"/>
      <c r="AR16" s="56"/>
      <c r="AS16" s="49"/>
      <c r="AT16" s="49"/>
      <c r="AU16" s="3"/>
      <c r="AV16" s="18">
        <f>60*10</f>
        <v>600</v>
      </c>
      <c r="AW16" s="18">
        <f>60*60*2</f>
        <v>7200</v>
      </c>
      <c r="AX16" s="18">
        <f>60*60*32</f>
        <v>115200</v>
      </c>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1"/>
      <c r="CS16" s="1"/>
      <c r="CT16" s="1"/>
      <c r="CU16" s="1"/>
    </row>
    <row r="17" spans="1:99" s="9" customFormat="1" ht="12" customHeight="1" x14ac:dyDescent="0.2">
      <c r="A17" s="37">
        <v>43976</v>
      </c>
      <c r="B17" s="1" t="s">
        <v>170</v>
      </c>
      <c r="C17" s="1" t="s">
        <v>92</v>
      </c>
      <c r="D17" s="32">
        <v>1988</v>
      </c>
      <c r="E17" s="41">
        <v>1</v>
      </c>
      <c r="F17" s="32">
        <v>18</v>
      </c>
      <c r="G17" s="32">
        <v>18</v>
      </c>
      <c r="H17" s="32" t="s">
        <v>14</v>
      </c>
      <c r="I17" s="32" t="s">
        <v>89</v>
      </c>
      <c r="J17" s="32" t="s">
        <v>82</v>
      </c>
      <c r="K17" s="32">
        <f>IF(J17="syllables",1,IF(J17="trigrams",2,IF(J17="strings",3,IF(J17="visual array",4,IF(J17="characters",5,IF(J17="letters",6,IF(J17="free forms",7,IF(J17="odors",8,IF(J17="words",9,IF(J17="pictures",10,IF(J17="object pictures",11,IF(J17="faces",12,IF(J17="names",13,IF(J17="idioms",14,IF(J17="grades",15,IF(J17="syllable-digit pairs",16,IF(J17="trigram-word pairs",17,IF(J17="word-digit pairs",18,IF(J17="English-Swahili pairs",19,IF(J17="spatial position",20,IF(J17="word pairs",21,IF(J17="word triads",22,IF(J17="generated words",23,IF(J17="word definition pairs",24,IF(J17="math problems",25,IF(J17="famous faces",26,IF(J17="famous names",27,IF(J17="famous voices",28,IF(J17="television programs",29,IF(J17="race horses",30,IF(J17="new vocabulary",31,IF(J17="sentences",32,IF(J17="concepts",33,IF(J17="ad slides",34,IF(J17="scenes",35,IF(J17="famous scenes",36,IF(J17="poems",37,IF(J17="walk",38,IF(J17="faces and events",39,IF(J17="events and names",40,IF(J17="flashbulb",41,IF(J17="stories",42,IF(J17="course material",43,IF(J17="autobiographical",44,IF(J17="novels",45,IF(J17="public events",46,"99"))))))))))))))))))))))))))))))))))))))))))))))</f>
        <v>10</v>
      </c>
      <c r="L17" s="32">
        <f>IF(J17="syllables",1,IF(J17="trigrams",1,IF(J17="strings",1,IF(J17="visual array",1,IF(J17="characters",1,IF(J17="letters",1,IF(J17="free forms",1,IF(J17="odors",2,IF(J17="words",2,IF(J17="pictures",2,IF(J17="object pictures",2,IF(J17="faces",2,IF(J17="names",2,IF(J17="idioms","2",IF(J17="grades",2,IF(J17="syllable-digit pairs",3,IF(J17="trigram-word pairs",3,IF(J17="word-digit pairs",3,IF(J17="English-Swahili pairs",3,IF(J17="spatial position",3,IF(J17="word pairs",4,IF(J17="word triads",4,IF(J17="generated words",4,IF(J17="word definition pairs",4,IF(J17="math problems",4,IF(J17="famous faces",4,IF(J17="famous names",4,IF(J17="famous voices",4,IF(J17="television programs",4,IF(J17="race horses",4,IF(J17="new vocabulary",4,IF(J17="sentences",5,IF(J17="concepts",5,IF(J17="ad slides",5,IF(J17="scenes",5,IF(J17="famous scenes",5,IF(J17="poems",6,IF(J17="walk",6,IF(J17="faces and events",6,IF(J17="events and names",6,IF(J17="flashbulb",7,IF(J17="stories",7,IF(J17="course material",7,IF(J17="autobiographical",7,IF(J17="novels",7,IF(J17="public events",7,"99"))))))))))))))))))))))))))))))))))))))))))))))</f>
        <v>2</v>
      </c>
      <c r="M17" s="32">
        <v>0</v>
      </c>
      <c r="N17" s="32">
        <v>1</v>
      </c>
      <c r="O17" s="32">
        <v>0</v>
      </c>
      <c r="P17" s="32"/>
      <c r="Q17" s="77" t="s">
        <v>18</v>
      </c>
      <c r="R17" s="32">
        <f>IF(Q17="Free Recall",1,IF(Q17="Cued Recall",2,IF(Q17="Recognition",3,IF(Q17="Multiple Choice",4,IF(Q17="Savings",5,IF(Q17="Stem Completion",6,IF(Q17="Fragment Completion",7,IF(Q17="anagram solution",8,IF(Q17="Matching",9,IF(Q17="Problem Solving",10,"99"))))))))))</f>
        <v>3</v>
      </c>
      <c r="S17" s="31" t="s">
        <v>196</v>
      </c>
      <c r="T17" s="31" t="s">
        <v>132</v>
      </c>
      <c r="U17" s="32">
        <f>IF(T17="within",1,0)</f>
        <v>1</v>
      </c>
      <c r="V17" s="31">
        <v>22</v>
      </c>
      <c r="W17" s="32">
        <f>F17*V17</f>
        <v>396</v>
      </c>
      <c r="X17" s="32">
        <v>3</v>
      </c>
      <c r="Y17" s="41">
        <f>AV16</f>
        <v>600</v>
      </c>
      <c r="Z17" s="32" t="s">
        <v>171</v>
      </c>
      <c r="AA17" s="32">
        <f>60*60*32</f>
        <v>115200</v>
      </c>
      <c r="AB17" s="32" t="str">
        <f>IF(AA17&lt;60,"1",IF(AA17&lt;=43200,"2",IF(AA17&lt;=777600,"3","4")))</f>
        <v>3</v>
      </c>
      <c r="AC17" s="28">
        <f>AVERAGE(AV16:DA16)</f>
        <v>41000</v>
      </c>
      <c r="AD17" s="32" t="str">
        <f>IF(AC17&lt;60,"1",IF(AC17&lt;=43200,"2",IF(AC17&lt;=777600,"3","4")))</f>
        <v>2</v>
      </c>
      <c r="AE17" s="41">
        <f>AA17-Y17</f>
        <v>114600</v>
      </c>
      <c r="AF17" s="45">
        <f>AV17</f>
        <v>3.08</v>
      </c>
      <c r="AG17" s="28">
        <f>((AW17-AV17)+(AX17-AW17))/2</f>
        <v>-0.54</v>
      </c>
      <c r="AH17" s="4"/>
      <c r="AI17" s="28">
        <f>RSQ(AV17:AX17,AV16:AX16)</f>
        <v>0.97401470517618582</v>
      </c>
      <c r="AJ17" s="51">
        <f>SLOPE(AV17:AX17,AV16:AX16)</f>
        <v>-8.6982986000405782E-6</v>
      </c>
      <c r="AK17" s="28">
        <f>INTERCEPT(AV17:AX17,AV16:AX16)</f>
        <v>2.9966302426016638</v>
      </c>
      <c r="AL17" s="28">
        <f>INDEX(LINEST(LN(AV17:AX17),LN(AV16:AX16),TRUE,TRUE),3,1)</f>
        <v>0.90440952423060827</v>
      </c>
      <c r="AM17" s="28">
        <f>INDEX(LINEST(LN(AV17:AX17),LN(AV16:AX16)),1)</f>
        <v>-8.2979269088313309E-2</v>
      </c>
      <c r="AN17" s="28">
        <f>EXP(INDEX(LINEST(LN(AV17:AX17),LN(AV16:AX16)),1,2))</f>
        <v>5.4680703107102895</v>
      </c>
      <c r="AO17" s="47">
        <f>INDEX(LINEST((AV17:AX17),LN(AV16:AX16),TRUE,TRUE),3,1)</f>
        <v>0.92426267387606109</v>
      </c>
      <c r="AP17" s="47">
        <f>INDEX(LINEST((AV17:AX17),LN(AV16:AX16)),1)</f>
        <v>-0.20729566064850624</v>
      </c>
      <c r="AQ17" s="48">
        <f>INDEX(LINEST(LN(AV17:AX17),SQRT(AV16:AX16),TRUE,TRUE),3,1)</f>
        <v>0.99998505093992951</v>
      </c>
      <c r="AR17" s="56">
        <f>INDEX(LINEST(LN(AV17:AX17),SQRT((AV16:AX16))),1)</f>
        <v>-1.3729919483825039E-3</v>
      </c>
      <c r="AS17" s="49">
        <f>INDEX(LINEST(1/(AV17:AX17),1/(SQRT(AV16:AX16)),TRUE,TRUE),3,1)</f>
        <v>0.60823006664096035</v>
      </c>
      <c r="AT17" s="49">
        <f>INDEX(LINEST(1/(AV17:AX17),1/SQRT(AV16:AX16)),1)</f>
        <v>-3.7114483111782457</v>
      </c>
      <c r="AU17" s="3"/>
      <c r="AV17" s="25">
        <v>3.08</v>
      </c>
      <c r="AW17" s="25">
        <v>2.84</v>
      </c>
      <c r="AX17" s="25">
        <v>2</v>
      </c>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1"/>
      <c r="CS17" s="1"/>
      <c r="CT17" s="1"/>
      <c r="CU17" s="1"/>
    </row>
    <row r="18" spans="1:99" s="9" customFormat="1" ht="12" customHeight="1" x14ac:dyDescent="0.2">
      <c r="A18" s="37">
        <v>43509</v>
      </c>
      <c r="B18" s="1"/>
      <c r="C18" s="1"/>
      <c r="D18" s="32"/>
      <c r="E18" s="41"/>
      <c r="F18" s="32"/>
      <c r="G18" s="32"/>
      <c r="H18" s="32"/>
      <c r="I18" s="32"/>
      <c r="J18" s="32"/>
      <c r="K18" s="36"/>
      <c r="L18" s="36"/>
      <c r="M18" s="32"/>
      <c r="N18" s="32"/>
      <c r="O18" s="32"/>
      <c r="P18" s="32"/>
      <c r="Q18" s="32"/>
      <c r="R18" s="32"/>
      <c r="S18" s="32"/>
      <c r="T18" s="32"/>
      <c r="U18" s="32"/>
      <c r="V18" s="32"/>
      <c r="W18" s="32"/>
      <c r="X18" s="32"/>
      <c r="Y18" s="41"/>
      <c r="Z18" s="32"/>
      <c r="AA18" s="32"/>
      <c r="AB18" s="32"/>
      <c r="AC18" s="32"/>
      <c r="AD18" s="32"/>
      <c r="AE18" s="32"/>
      <c r="AF18" s="45"/>
      <c r="AG18" s="28"/>
      <c r="AH18" s="4"/>
      <c r="AI18" s="28"/>
      <c r="AJ18" s="51"/>
      <c r="AK18" s="28"/>
      <c r="AL18" s="28"/>
      <c r="AM18" s="28"/>
      <c r="AN18" s="28"/>
      <c r="AO18" s="28"/>
      <c r="AP18" s="28"/>
      <c r="AQ18" s="28"/>
      <c r="AR18" s="51"/>
      <c r="AS18" s="28"/>
      <c r="AT18" s="28"/>
      <c r="AU18" s="4"/>
      <c r="AV18" s="18">
        <f>60*60</f>
        <v>3600</v>
      </c>
      <c r="AW18" s="18">
        <f>24*3600</f>
        <v>86400</v>
      </c>
      <c r="AX18" s="18">
        <f>24*3600*2</f>
        <v>172800</v>
      </c>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1"/>
      <c r="CS18" s="1"/>
      <c r="CT18" s="1"/>
      <c r="CU18" s="1"/>
    </row>
    <row r="19" spans="1:99" s="9" customFormat="1" ht="12" customHeight="1" x14ac:dyDescent="0.2">
      <c r="A19" s="37">
        <v>43509</v>
      </c>
      <c r="B19" s="1" t="s">
        <v>43</v>
      </c>
      <c r="C19" s="1" t="s">
        <v>27</v>
      </c>
      <c r="D19" s="32">
        <v>2007</v>
      </c>
      <c r="E19" s="41">
        <v>1</v>
      </c>
      <c r="F19" s="32">
        <v>72</v>
      </c>
      <c r="G19" s="32">
        <v>24</v>
      </c>
      <c r="H19" s="32" t="s">
        <v>14</v>
      </c>
      <c r="I19" s="32" t="s">
        <v>137</v>
      </c>
      <c r="J19" s="32" t="s">
        <v>109</v>
      </c>
      <c r="K19" s="32">
        <f>IF(J19="syllables",1,IF(J19="trigrams",2,IF(J19="strings",3,IF(J19="visual array",4,IF(J19="characters",5,IF(J19="letters",6,IF(J19="free forms",7,IF(J19="odors",8,IF(J19="words",9,IF(J19="pictures",10,IF(J19="object pictures",11,IF(J19="faces",12,IF(J19="names",13,IF(J19="idioms",14,IF(J19="grades",15,IF(J19="syllable-digit pairs",16,IF(J19="trigram-word pairs",17,IF(J19="word-digit pairs",18,IF(J19="English-Swahili pairs",19,IF(J19="spatial position",20,IF(J19="word pairs",21,IF(J19="word triads",22,IF(J19="generated words",23,IF(J19="word definition pairs",24,IF(J19="math problems",25,IF(J19="famous faces",26,IF(J19="famous names",27,IF(J19="famous voices",28,IF(J19="television programs",29,IF(J19="race horses",30,IF(J19="new vocabulary",31,IF(J19="sentences",32,IF(J19="concepts",33,IF(J19="ad slides",34,IF(J19="scenes",35,IF(J19="famous scenes",36,IF(J19="poems",37,IF(J19="walk",38,IF(J19="faces and events",39,IF(J19="events and names",40,IF(J19="flashbulb",41,IF(J19="stories",42,IF(J19="course material",43,IF(J19="autobiographical",44,IF(J19="novels",45,IF(J19="public events",46,"99"))))))))))))))))))))))))))))))))))))))))))))))</f>
        <v>32</v>
      </c>
      <c r="L19" s="32">
        <f>IF(J19="syllables",1,IF(J19="trigrams",1,IF(J19="strings",1,IF(J19="visual array",1,IF(J19="characters",1,IF(J19="letters",1,IF(J19="free forms",1,IF(J19="odors",2,IF(J19="words",2,IF(J19="pictures",2,IF(J19="object pictures",2,IF(J19="faces",2,IF(J19="names",2,IF(J19="idioms","2",IF(J19="grades",2,IF(J19="syllable-digit pairs",3,IF(J19="trigram-word pairs",3,IF(J19="word-digit pairs",3,IF(J19="English-Swahili pairs",3,IF(J19="spatial position",3,IF(J19="word pairs",4,IF(J19="word triads",4,IF(J19="generated words",4,IF(J19="word definition pairs",4,IF(J19="math problems",4,IF(J19="famous faces",4,IF(J19="famous names",4,IF(J19="famous voices",4,IF(J19="television programs",4,IF(J19="race horses",4,IF(J19="new vocabulary",4,IF(J19="sentences",5,IF(J19="concepts",5,IF(J19="ad slides",5,IF(J19="scenes",5,IF(J19="famous scenes",5,IF(J19="poems",6,IF(J19="walk",6,IF(J19="faces and events",6,IF(J19="events and names",6,IF(J19="flashbulb",7,IF(J19="stories",7,IF(J19="course material",7,IF(J19="autobiographical",7,IF(J19="novels",7,IF(J19="public events",7,"99"))))))))))))))))))))))))))))))))))))))))))))))</f>
        <v>5</v>
      </c>
      <c r="M19" s="32">
        <v>0</v>
      </c>
      <c r="N19" s="32">
        <v>3</v>
      </c>
      <c r="O19" s="32">
        <v>0</v>
      </c>
      <c r="P19" s="32"/>
      <c r="Q19" s="32" t="s">
        <v>18</v>
      </c>
      <c r="R19" s="32">
        <f>IF(Q19="Free Recall",1,IF(Q19="Cued Recall",2,IF(Q19="Recognition",3,IF(Q19="Multiple Choice",4,IF(Q19="Savings",5,IF(Q19="Stem Completion",6,IF(Q19="Fragment Completion",7,IF(Q19="anagram solution",8,IF(Q19="Matching",9,IF(Q19="Problem Solving",10,"99"))))))))))</f>
        <v>3</v>
      </c>
      <c r="S19" s="77" t="s">
        <v>196</v>
      </c>
      <c r="T19" s="32" t="s">
        <v>72</v>
      </c>
      <c r="U19" s="32">
        <f>IF(T19="within",1,0)</f>
        <v>0</v>
      </c>
      <c r="V19" s="32">
        <v>40</v>
      </c>
      <c r="W19" s="32">
        <f>F19*V19</f>
        <v>2880</v>
      </c>
      <c r="X19" s="32">
        <v>3</v>
      </c>
      <c r="Y19" s="41">
        <f>AV18</f>
        <v>3600</v>
      </c>
      <c r="Z19" s="32" t="s">
        <v>40</v>
      </c>
      <c r="AA19" s="32">
        <v>172800</v>
      </c>
      <c r="AB19" s="32" t="str">
        <f>IF(AA19&lt;60,"1",IF(AA19&lt;=43200,"2",IF(AA19&lt;=777600,"3","4")))</f>
        <v>3</v>
      </c>
      <c r="AC19" s="28">
        <f>AVERAGE(AV18:DA18)</f>
        <v>87600</v>
      </c>
      <c r="AD19" s="32" t="str">
        <f>IF(AC19&lt;60,"1",IF(AC19&lt;=43200,"2",IF(AC19&lt;=777600,"3","4")))</f>
        <v>3</v>
      </c>
      <c r="AE19" s="41">
        <f>AA19-Y19</f>
        <v>169200</v>
      </c>
      <c r="AF19" s="45">
        <f>AV19</f>
        <v>5.0741292594858338</v>
      </c>
      <c r="AG19" s="28">
        <f>((AW19-AV19)+(AX19-AW19))/2</f>
        <v>-1.1846389675437345</v>
      </c>
      <c r="AH19" s="4"/>
      <c r="AI19" s="28">
        <f>RSQ(AV19:AX19,AV18:AX18)</f>
        <v>0.86019257175099306</v>
      </c>
      <c r="AJ19" s="51">
        <f>SLOPE(AV19:AX19,AV18:AX18)</f>
        <v>-1.3933819925288916E-5</v>
      </c>
      <c r="AK19" s="28">
        <f>INTERCEPT(AV19:AX19,AV18:AX18)</f>
        <v>4.8440765217308375</v>
      </c>
      <c r="AL19" s="28">
        <f>INDEX(LINEST(LN(AV19:AX19),LN(AV18:AX18),TRUE,TRUE),3,1)</f>
        <v>0.99882942335665303</v>
      </c>
      <c r="AM19" s="28">
        <f>INDEX(LINEST(LN(AV19:AX19),LN(AV18:AX18)),1)</f>
        <v>-0.16047384338199436</v>
      </c>
      <c r="AN19" s="28">
        <f>EXP(INDEX(LINEST(LN(AV19:AX19),LN(AV18:AX18)),1,2))</f>
        <v>18.923865228028365</v>
      </c>
      <c r="AO19" s="47">
        <f>INDEX(LINEST((AV19:AX19),LN(AV18:AX18),TRUE,TRUE),3,1)</f>
        <v>0.99974307070223212</v>
      </c>
      <c r="AP19" s="47">
        <f>INDEX(LINEST((AV19:AX19),LN(AV18:AX18)),1)</f>
        <v>-0.61568442348276819</v>
      </c>
      <c r="AQ19" s="48">
        <f>INDEX(LINEST(LN(AV19:AX19),SQRT(AV18:AX18),TRUE,TRUE),3,1)</f>
        <v>0.98037176812903226</v>
      </c>
      <c r="AR19" s="56">
        <f>INDEX(LINEST(LN(AV19:AX19),SQRT((AV18:AX18))),1)</f>
        <v>-1.8154636869272341E-3</v>
      </c>
      <c r="AS19" s="49">
        <f>INDEX(LINEST(1/(AV19:AX19),1/(SQRT(AV18:AX18)),TRUE,TRUE),3,1)</f>
        <v>0.96090518390599089</v>
      </c>
      <c r="AT19" s="49">
        <f>INDEX(LINEST(1/(AV19:AX19),1/SQRT(AV18:AX18)),1)</f>
        <v>-11.002607146047147</v>
      </c>
      <c r="AU19" s="3"/>
      <c r="AV19" s="25">
        <v>5.0741292594858338</v>
      </c>
      <c r="AW19" s="25">
        <v>3.0914411049423856</v>
      </c>
      <c r="AX19" s="25">
        <v>2.7048513243983647</v>
      </c>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1"/>
      <c r="CS19" s="1"/>
      <c r="CT19" s="1"/>
      <c r="CU19" s="1"/>
    </row>
    <row r="20" spans="1:99" s="9" customFormat="1" ht="12" customHeight="1" x14ac:dyDescent="0.2">
      <c r="A20" s="37">
        <v>43509</v>
      </c>
      <c r="B20" s="1"/>
      <c r="C20" s="1"/>
      <c r="D20" s="32"/>
      <c r="E20" s="41"/>
      <c r="F20" s="32"/>
      <c r="G20" s="32"/>
      <c r="H20" s="32"/>
      <c r="I20" s="32"/>
      <c r="J20" s="32"/>
      <c r="K20" s="36"/>
      <c r="L20" s="36"/>
      <c r="M20" s="32"/>
      <c r="N20" s="32"/>
      <c r="O20" s="32"/>
      <c r="P20" s="32"/>
      <c r="Q20" s="32"/>
      <c r="R20" s="32"/>
      <c r="S20" s="32"/>
      <c r="T20" s="32"/>
      <c r="U20" s="32"/>
      <c r="V20" s="32"/>
      <c r="W20" s="32"/>
      <c r="X20" s="32"/>
      <c r="Y20" s="41"/>
      <c r="Z20" s="32"/>
      <c r="AA20" s="32"/>
      <c r="AB20" s="32"/>
      <c r="AC20" s="32"/>
      <c r="AD20" s="32"/>
      <c r="AE20" s="32"/>
      <c r="AF20" s="45"/>
      <c r="AG20" s="28"/>
      <c r="AH20" s="4"/>
      <c r="AI20" s="28"/>
      <c r="AJ20" s="51"/>
      <c r="AK20" s="28"/>
      <c r="AL20" s="28"/>
      <c r="AM20" s="28"/>
      <c r="AN20" s="28"/>
      <c r="AO20" s="28"/>
      <c r="AP20" s="28"/>
      <c r="AQ20" s="28"/>
      <c r="AR20" s="51"/>
      <c r="AS20" s="28"/>
      <c r="AT20" s="28"/>
      <c r="AU20" s="4"/>
      <c r="AV20" s="18">
        <f>60*60</f>
        <v>3600</v>
      </c>
      <c r="AW20" s="18">
        <f>24*3600</f>
        <v>86400</v>
      </c>
      <c r="AX20" s="18">
        <f>24*3600*2</f>
        <v>172800</v>
      </c>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1"/>
      <c r="CS20" s="1"/>
      <c r="CT20" s="1"/>
      <c r="CU20" s="1"/>
    </row>
    <row r="21" spans="1:99" s="9" customFormat="1" ht="12" customHeight="1" x14ac:dyDescent="0.2">
      <c r="A21" s="37">
        <v>43509</v>
      </c>
      <c r="B21" s="1" t="s">
        <v>43</v>
      </c>
      <c r="C21" s="1" t="s">
        <v>27</v>
      </c>
      <c r="D21" s="32">
        <v>2007</v>
      </c>
      <c r="E21" s="41">
        <v>1</v>
      </c>
      <c r="F21" s="32">
        <v>72</v>
      </c>
      <c r="G21" s="32">
        <v>24</v>
      </c>
      <c r="H21" s="32" t="s">
        <v>14</v>
      </c>
      <c r="I21" s="32" t="s">
        <v>138</v>
      </c>
      <c r="J21" s="32" t="s">
        <v>109</v>
      </c>
      <c r="K21" s="32">
        <f>IF(J21="syllables",1,IF(J21="trigrams",2,IF(J21="strings",3,IF(J21="visual array",4,IF(J21="characters",5,IF(J21="letters",6,IF(J21="free forms",7,IF(J21="odors",8,IF(J21="words",9,IF(J21="pictures",10,IF(J21="object pictures",11,IF(J21="faces",12,IF(J21="names",13,IF(J21="idioms",14,IF(J21="grades",15,IF(J21="syllable-digit pairs",16,IF(J21="trigram-word pairs",17,IF(J21="word-digit pairs",18,IF(J21="English-Swahili pairs",19,IF(J21="spatial position",20,IF(J21="word pairs",21,IF(J21="word triads",22,IF(J21="generated words",23,IF(J21="word definition pairs",24,IF(J21="math problems",25,IF(J21="famous faces",26,IF(J21="famous names",27,IF(J21="famous voices",28,IF(J21="television programs",29,IF(J21="race horses",30,IF(J21="new vocabulary",31,IF(J21="sentences",32,IF(J21="concepts",33,IF(J21="ad slides",34,IF(J21="scenes",35,IF(J21="famous scenes",36,IF(J21="poems",37,IF(J21="walk",38,IF(J21="faces and events",39,IF(J21="events and names",40,IF(J21="flashbulb",41,IF(J21="stories",42,IF(J21="course material",43,IF(J21="autobiographical",44,IF(J21="novels",45,IF(J21="public events",46,"99"))))))))))))))))))))))))))))))))))))))))))))))</f>
        <v>32</v>
      </c>
      <c r="L21" s="32">
        <f>IF(J21="syllables",1,IF(J21="trigrams",1,IF(J21="strings",1,IF(J21="visual array",1,IF(J21="characters",1,IF(J21="letters",1,IF(J21="free forms",1,IF(J21="odors",2,IF(J21="words",2,IF(J21="pictures",2,IF(J21="object pictures",2,IF(J21="faces",2,IF(J21="names",2,IF(J21="idioms","2",IF(J21="grades",2,IF(J21="syllable-digit pairs",3,IF(J21="trigram-word pairs",3,IF(J21="word-digit pairs",3,IF(J21="English-Swahili pairs",3,IF(J21="spatial position",3,IF(J21="word pairs",4,IF(J21="word triads",4,IF(J21="generated words",4,IF(J21="word definition pairs",4,IF(J21="math problems",4,IF(J21="famous faces",4,IF(J21="famous names",4,IF(J21="famous voices",4,IF(J21="television programs",4,IF(J21="race horses",4,IF(J21="new vocabulary",4,IF(J21="sentences",5,IF(J21="concepts",5,IF(J21="ad slides",5,IF(J21="scenes",5,IF(J21="famous scenes",5,IF(J21="poems",6,IF(J21="walk",6,IF(J21="faces and events",6,IF(J21="events and names",6,IF(J21="flashbulb",7,IF(J21="stories",7,IF(J21="course material",7,IF(J21="autobiographical",7,IF(J21="novels",7,IF(J21="public events",7,"99"))))))))))))))))))))))))))))))))))))))))))))))</f>
        <v>5</v>
      </c>
      <c r="M21" s="32">
        <v>0</v>
      </c>
      <c r="N21" s="32">
        <v>3</v>
      </c>
      <c r="O21" s="32">
        <v>0</v>
      </c>
      <c r="P21" s="32"/>
      <c r="Q21" s="32" t="s">
        <v>18</v>
      </c>
      <c r="R21" s="32">
        <f>IF(Q21="Free Recall",1,IF(Q21="Cued Recall",2,IF(Q21="Recognition",3,IF(Q21="Multiple Choice",4,IF(Q21="Savings",5,IF(Q21="Stem Completion",6,IF(Q21="Fragment Completion",7,IF(Q21="anagram solution",8,IF(Q21="Matching",9,IF(Q21="Problem Solving",10,"99"))))))))))</f>
        <v>3</v>
      </c>
      <c r="S21" s="77" t="s">
        <v>196</v>
      </c>
      <c r="T21" s="32" t="s">
        <v>72</v>
      </c>
      <c r="U21" s="32">
        <f>IF(T21="within",1,0)</f>
        <v>0</v>
      </c>
      <c r="V21" s="32">
        <v>40</v>
      </c>
      <c r="W21" s="32">
        <f>F21*V21</f>
        <v>2880</v>
      </c>
      <c r="X21" s="32">
        <v>3</v>
      </c>
      <c r="Y21" s="41">
        <f>AV20</f>
        <v>3600</v>
      </c>
      <c r="Z21" s="32" t="s">
        <v>40</v>
      </c>
      <c r="AA21" s="32">
        <v>172800</v>
      </c>
      <c r="AB21" s="32" t="str">
        <f>IF(AA21&lt;60,"1",IF(AA21&lt;=43200,"2",IF(AA21&lt;=777600,"3","4")))</f>
        <v>3</v>
      </c>
      <c r="AC21" s="28">
        <f>AVERAGE(AV20:DA20)</f>
        <v>87600</v>
      </c>
      <c r="AD21" s="32" t="str">
        <f>IF(AC21&lt;60,"1",IF(AC21&lt;=43200,"2",IF(AC21&lt;=777600,"3","4")))</f>
        <v>3</v>
      </c>
      <c r="AE21" s="41">
        <f>AA21-Y21</f>
        <v>169200</v>
      </c>
      <c r="AF21" s="45">
        <f>AV21</f>
        <v>4.3926350123964646</v>
      </c>
      <c r="AG21" s="28">
        <f>((AW21-AV21)+(AX21-AW21))/2</f>
        <v>-1.1813149533484204</v>
      </c>
      <c r="AH21" s="4"/>
      <c r="AI21" s="28">
        <f>RSQ(AV21:AX21,AV20:AX20)</f>
        <v>0.84467134036109737</v>
      </c>
      <c r="AJ21" s="51">
        <f>SLOPE(AV21:AX21,AV20:AX20)</f>
        <v>-1.3890363057847853E-5</v>
      </c>
      <c r="AK21" s="28">
        <f>INTERCEPT(AV21:AX21,AV20:AX20)</f>
        <v>4.1455088639891002</v>
      </c>
      <c r="AL21" s="28">
        <f>INDEX(LINEST(LN(AV21:AX21),LN(AV20:AX20),TRUE,TRUE),3,1)</f>
        <v>0.99966148041189262</v>
      </c>
      <c r="AM21" s="28">
        <f>INDEX(LINEST(LN(AV21:AX21),LN(AV20:AX20)),1)</f>
        <v>-0.19804254861197892</v>
      </c>
      <c r="AN21" s="28">
        <f>EXP(INDEX(LINEST(LN(AV21:AX21),LN(AV20:AX20)),1,2))</f>
        <v>22.266795600293655</v>
      </c>
      <c r="AO21" s="47">
        <f>INDEX(LINEST((AV21:AX21),LN(AV20:AX20),TRUE,TRUE),3,1)</f>
        <v>0.99856293102438531</v>
      </c>
      <c r="AP21" s="47">
        <f>INDEX(LINEST((AV21:AX21),LN(AV20:AX20)),1)</f>
        <v>-0.6190119783954563</v>
      </c>
      <c r="AQ21" s="48">
        <f>INDEX(LINEST(LN(AV21:AX21),SQRT(AV20:AX20),TRUE,TRUE),3,1)</f>
        <v>0.97574287122258618</v>
      </c>
      <c r="AR21" s="56">
        <f>INDEX(LINEST(LN(AV21:AX21),SQRT((AV20:AX20))),1)</f>
        <v>-2.2342578834374134E-3</v>
      </c>
      <c r="AS21" s="49">
        <f>INDEX(LINEST(1/(AV21:AX21),1/(SQRT(AV20:AX20)),TRUE,TRUE),3,1)</f>
        <v>0.96315647974217855</v>
      </c>
      <c r="AT21" s="49">
        <f>INDEX(LINEST(1/(AV21:AX21),1/SQRT(AV20:AX20)),1)</f>
        <v>-16.934019571869882</v>
      </c>
      <c r="AU21" s="3"/>
      <c r="AV21" s="25">
        <v>4.3926350123964646</v>
      </c>
      <c r="AW21" s="25">
        <v>2.3634990622687968</v>
      </c>
      <c r="AX21" s="25">
        <v>2.0300051056996238</v>
      </c>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1"/>
      <c r="CS21" s="1"/>
      <c r="CT21" s="1"/>
      <c r="CU21" s="1"/>
    </row>
    <row r="22" spans="1:99" s="60" customFormat="1" ht="12" customHeight="1" x14ac:dyDescent="0.2">
      <c r="A22" s="94">
        <v>43902</v>
      </c>
      <c r="B22" s="101"/>
      <c r="C22" s="101"/>
      <c r="D22" s="77"/>
      <c r="E22" s="98"/>
      <c r="F22" s="77"/>
      <c r="G22" s="77"/>
      <c r="H22" s="77"/>
      <c r="I22" s="77"/>
      <c r="J22" s="77"/>
      <c r="K22" s="102"/>
      <c r="L22" s="102"/>
      <c r="M22" s="77"/>
      <c r="N22" s="103"/>
      <c r="O22" s="77"/>
      <c r="P22" s="77"/>
      <c r="Q22" s="77"/>
      <c r="R22" s="77"/>
      <c r="S22" s="77"/>
      <c r="T22" s="96"/>
      <c r="U22" s="32"/>
      <c r="V22" s="96"/>
      <c r="W22" s="77"/>
      <c r="X22" s="77"/>
      <c r="Y22" s="98"/>
      <c r="Z22" s="96"/>
      <c r="AA22" s="96"/>
      <c r="AB22" s="77"/>
      <c r="AC22" s="100"/>
      <c r="AD22" s="77"/>
      <c r="AE22" s="77"/>
      <c r="AF22" s="99"/>
      <c r="AG22" s="100"/>
      <c r="AH22" s="84"/>
      <c r="AI22" s="100"/>
      <c r="AJ22" s="105"/>
      <c r="AK22" s="100"/>
      <c r="AL22" s="100"/>
      <c r="AM22" s="100"/>
      <c r="AN22" s="100"/>
      <c r="AO22" s="104"/>
      <c r="AP22" s="104"/>
      <c r="AQ22" s="48"/>
      <c r="AR22" s="56"/>
      <c r="AS22" s="49"/>
      <c r="AT22" s="49"/>
      <c r="AU22" s="63"/>
      <c r="AV22" s="64">
        <v>60</v>
      </c>
      <c r="AW22" s="64">
        <v>3600</v>
      </c>
      <c r="AX22" s="64">
        <v>86400</v>
      </c>
      <c r="AY22" s="65"/>
      <c r="AZ22" s="65"/>
      <c r="BA22" s="65"/>
      <c r="BB22" s="65"/>
      <c r="BC22" s="65"/>
      <c r="BD22" s="65"/>
      <c r="BE22" s="65"/>
      <c r="BF22" s="65"/>
      <c r="BG22" s="65"/>
      <c r="BH22" s="65"/>
      <c r="BI22" s="65"/>
      <c r="BJ22" s="65"/>
      <c r="BK22" s="65"/>
      <c r="BL22" s="61"/>
      <c r="BM22" s="61"/>
      <c r="BN22" s="61"/>
      <c r="BO22" s="61"/>
      <c r="BP22" s="61"/>
      <c r="BQ22" s="61"/>
      <c r="BR22" s="61"/>
      <c r="BS22" s="61"/>
      <c r="BT22" s="61"/>
      <c r="BU22" s="61"/>
      <c r="BV22" s="61"/>
      <c r="BW22" s="61"/>
      <c r="BX22" s="61"/>
      <c r="BY22" s="61"/>
      <c r="BZ22" s="61"/>
      <c r="CA22" s="61"/>
      <c r="CB22" s="61"/>
      <c r="CC22" s="61"/>
      <c r="CD22" s="61"/>
      <c r="CE22" s="61"/>
      <c r="CF22" s="61"/>
      <c r="CG22" s="61"/>
      <c r="CH22" s="61"/>
      <c r="CI22" s="61"/>
      <c r="CJ22" s="61"/>
      <c r="CK22" s="61"/>
      <c r="CL22" s="61"/>
      <c r="CM22" s="61"/>
      <c r="CN22" s="61"/>
      <c r="CO22" s="61"/>
      <c r="CP22" s="61"/>
      <c r="CQ22" s="61"/>
      <c r="CR22" s="59"/>
      <c r="CS22" s="59"/>
      <c r="CT22" s="59"/>
      <c r="CU22" s="59"/>
    </row>
    <row r="23" spans="1:99" s="60" customFormat="1" ht="12" customHeight="1" x14ac:dyDescent="0.2">
      <c r="A23" s="94">
        <v>43902</v>
      </c>
      <c r="B23" s="101" t="s">
        <v>106</v>
      </c>
      <c r="C23" s="101" t="s">
        <v>91</v>
      </c>
      <c r="D23" s="77">
        <v>1988</v>
      </c>
      <c r="E23" s="98">
        <v>1</v>
      </c>
      <c r="F23" s="77">
        <v>4</v>
      </c>
      <c r="G23" s="77">
        <v>4</v>
      </c>
      <c r="H23" s="77" t="s">
        <v>201</v>
      </c>
      <c r="I23" s="77" t="s">
        <v>89</v>
      </c>
      <c r="J23" s="96" t="s">
        <v>88</v>
      </c>
      <c r="K23" s="77" t="str">
        <f>IF(J23="syllables","1",IF(J23="trigrams","2",IF(J23="strings","3",IF(J23="visual array","4",IF(J23="characters","5",IF(J23="letters","6",IF(J23="free forms","7",IF(J23="odors","8",IF(J23="words","9",IF(J23="pictures","10",IF(J23="object pictures","11",IF(J23="faces","12",IF(J23="names","13",IF(J23="idioms","14",IF(J23="grades","15",IF(J23="syllable-digit pairs","16",IF(J23="trigram-word pairs","17",IF(J23="word-digit pairs","18",IF(J23="English-Swahili pairs","19",IF(J23="spatial position","20",IF(J23="word pairs","21",IF(J23="word triads","22",IF(J23="generated words","23",IF(J23="word definition pairs","24",IF(J23="math problems","25",IF(J23="famous faces","26",IF(J23="famous names","27",IF(J23="famous voices","28",IF(J23="television programs","29",IF(J23="race horses","30",IF(J23="new vocabulary","31",IF(J23="sentences","32",IF(J23="concepts","33",IF(J23="ad slides","34",IF(J23="scenes","35",IF(J23="famous scenes","36",IF(J23="poems","37",IF(J23="walk","38",IF(J23="faces and events","39",IF(J23="events and names","40",IF(J23="flashbulb","41",IF(J23="stories","42",IF(J23="course material","43",IF(J23="autobiographical","44",IF(J23="novels","45",IF(J23="public events","46",IF(J23="order","90","99")))))))))))))))))))))))))))))))))))))))))))))))</f>
        <v>12</v>
      </c>
      <c r="L23" s="77" t="str">
        <f>IF(J23="syllables","1",IF(J23="trigrams","1",IF(J23="strings","1",IF(J23="visual array","1",IF(J23="characters","1",IF(J23="letters","1",IF(J23="free forms","1",IF(J23="odors","2",IF(J23="words","2",IF(J23="pictures","2",IF(J23="object pictures","2",IF(J23="faces","2",IF(J23="names","2",IF(J23="idioms","2",IF(J23="grades","2",IF(J23="syllable-digit pairs","3",IF(J23="trigram-word pairs","3",IF(J23="word-digit pairs","3",IF(J23="English-Swahili pairs","3",IF(J23="spatial position","3",IF(J23="word pairs","4",IF(J23="word triads","4",IF(J23="generated words","4",IF(J23="word definition pairs","4",IF(J23="math problems","4",IF(J23="famous faces","4",IF(J23="famous names","4",IF(J23="famous voices","4",IF(J23="television programs","4",IF(J23="race horses","4",IF(J23="new vocabulary","4",IF(J23="sentences","5",IF(J23="concepts","5",IF(J23="ad slides","5",IF(J23="scenes","5",IF(J23="famous scenes","5",IF(J23="poems","6",IF(J23="walk","6",IF(J23="faces and events","6",IF(J23="events and names","6",IF(J23="flashbulb","7",IF(J23="stories","7",IF(J23="course material","7",IF(J23="autobiographical","7",IF(J23="novels","7",IF(J23="public events","7",IF(J23="order","90","99")))))))))))))))))))))))))))))))))))))))))))))))</f>
        <v>2</v>
      </c>
      <c r="M23" s="77" t="s">
        <v>195</v>
      </c>
      <c r="N23" s="103">
        <v>1</v>
      </c>
      <c r="O23" s="77" t="s">
        <v>195</v>
      </c>
      <c r="P23" s="77"/>
      <c r="Q23" s="77" t="s">
        <v>18</v>
      </c>
      <c r="R23" s="77" t="str">
        <f>IF(Q23="Free Recall","1",IF(Q23="Cued Recall","2",IF(Q23="Recognition","3",IF(Q23="Multiple Choice","4",IF(Q23="Savings","5",IF(Q23="Stem Completion","6",IF(Q23="Fragment Completion","7",IF(Q23="anagram solution","8",IF(Q23="Matching","9",IF(Q23="Problem Solving","10","99"))))))))))</f>
        <v>3</v>
      </c>
      <c r="S23" s="77" t="s">
        <v>196</v>
      </c>
      <c r="T23" s="96" t="s">
        <v>132</v>
      </c>
      <c r="U23" s="32">
        <f>IF(T23="within",1,0)</f>
        <v>1</v>
      </c>
      <c r="V23" s="96">
        <v>15</v>
      </c>
      <c r="W23" s="77">
        <f>F23*V23</f>
        <v>60</v>
      </c>
      <c r="X23" s="77">
        <v>3</v>
      </c>
      <c r="Y23" s="98">
        <f>AV22</f>
        <v>60</v>
      </c>
      <c r="Z23" s="96" t="s">
        <v>107</v>
      </c>
      <c r="AA23" s="96">
        <v>86400</v>
      </c>
      <c r="AB23" s="77" t="str">
        <f>IF(AA23&lt;60,"1",IF(AA23&lt;=43200,"2",IF(AA23&lt;=777600,"3","4")))</f>
        <v>3</v>
      </c>
      <c r="AC23" s="100">
        <f>AVERAGE(AV22:DA22)</f>
        <v>30020</v>
      </c>
      <c r="AD23" s="77" t="str">
        <f>IF(AC23&lt;60,"1",IF(AC23&lt;=43200,"2",IF(AC23&lt;=777600,"3","4")))</f>
        <v>2</v>
      </c>
      <c r="AE23" s="98">
        <f>AA23-Y23</f>
        <v>86340</v>
      </c>
      <c r="AF23" s="99">
        <f>AV23</f>
        <v>1.75</v>
      </c>
      <c r="AG23" s="100">
        <f>((AW23-AV23)+(AX23-AW23))/2</f>
        <v>-0.46500000000000002</v>
      </c>
      <c r="AH23" s="84"/>
      <c r="AI23" s="100">
        <f>RSQ(AV23:AX23,AV22:AX22)</f>
        <v>0.6767205514577439</v>
      </c>
      <c r="AJ23" s="105">
        <f>SLOPE(AV23:AX23,AV22:AX22)</f>
        <v>-7.8834642587186818E-6</v>
      </c>
      <c r="AK23" s="100">
        <f>INTERCEPT(AV23:AX23,AV22:AX22)</f>
        <v>1.4899949303800679</v>
      </c>
      <c r="AL23" s="100">
        <f>INDEX(LINEST(LN(AV23:AX23),LN(AV22:AX22),TRUE,TRUE),3,1)</f>
        <v>0.99609652855245923</v>
      </c>
      <c r="AM23" s="100">
        <f>INDEX(LINEST(LN(AV23:AX23),LN(AV22:AX22)),1)</f>
        <v>-0.10376636196991192</v>
      </c>
      <c r="AN23" s="100">
        <f>EXP(INDEX(LINEST(LN(AV23:AX23),LN(AV22:AX22)),1,2))</f>
        <v>2.7084860164773827</v>
      </c>
      <c r="AO23" s="104">
        <f>INDEX(LINEST((AV23:AX23),LN(AV22:AX22),TRUE,TRUE),3,1)</f>
        <v>0.99799474576990055</v>
      </c>
      <c r="AP23" s="104">
        <f>INDEX(LINEST((AV23:AX23),LN(AV22:AX22)),1)</f>
        <v>-0.1282991324602534</v>
      </c>
      <c r="AQ23" s="48">
        <f>INDEX(LINEST(LN(AV23:AX23),SQRT(AV22:AX22),TRUE,TRUE),3,1)</f>
        <v>0.87496911772727393</v>
      </c>
      <c r="AR23" s="56">
        <f>INDEX(LINEST(LN(AV23:AX23),SQRT((AV22:AX22))),1)</f>
        <v>-2.3264623477487439E-3</v>
      </c>
      <c r="AS23" s="49">
        <f>INDEX(LINEST(1/(AV23:AX23),1/(SQRT(AV22:AX22)),TRUE,TRUE),3,1)</f>
        <v>0.74849472216111423</v>
      </c>
      <c r="AT23" s="49">
        <f>INDEX(LINEST(1/(AV23:AX23),1/SQRT(AV22:AX22)),1)</f>
        <v>-4.0789189086162994</v>
      </c>
      <c r="AU23" s="63"/>
      <c r="AV23" s="65">
        <v>1.75</v>
      </c>
      <c r="AW23" s="65">
        <v>1.19</v>
      </c>
      <c r="AX23" s="65">
        <v>0.82</v>
      </c>
      <c r="AY23" s="65"/>
      <c r="AZ23" s="65"/>
      <c r="BA23" s="65"/>
      <c r="BB23" s="65"/>
      <c r="BC23" s="65"/>
      <c r="BD23" s="65"/>
      <c r="BE23" s="65"/>
      <c r="BF23" s="65"/>
      <c r="BG23" s="65"/>
      <c r="BH23" s="65"/>
      <c r="BI23" s="65"/>
      <c r="BJ23" s="65"/>
      <c r="BK23" s="65"/>
      <c r="BL23" s="61"/>
      <c r="BM23" s="61"/>
      <c r="BN23" s="61"/>
      <c r="BO23" s="61"/>
      <c r="BP23" s="61"/>
      <c r="BQ23" s="61"/>
      <c r="BR23" s="61"/>
      <c r="BS23" s="61"/>
      <c r="BT23" s="61"/>
      <c r="BU23" s="61"/>
      <c r="BV23" s="61"/>
      <c r="BW23" s="61"/>
      <c r="BX23" s="61"/>
      <c r="BY23" s="61"/>
      <c r="BZ23" s="61"/>
      <c r="CA23" s="61"/>
      <c r="CB23" s="61"/>
      <c r="CC23" s="61"/>
      <c r="CD23" s="61"/>
      <c r="CE23" s="61"/>
      <c r="CF23" s="61"/>
      <c r="CG23" s="61"/>
      <c r="CH23" s="61"/>
      <c r="CI23" s="61"/>
      <c r="CJ23" s="61"/>
      <c r="CK23" s="61"/>
      <c r="CL23" s="61"/>
      <c r="CM23" s="61"/>
      <c r="CN23" s="61"/>
      <c r="CO23" s="61"/>
      <c r="CP23" s="61"/>
      <c r="CQ23" s="61"/>
      <c r="CR23" s="59"/>
      <c r="CS23" s="59"/>
      <c r="CT23" s="59"/>
      <c r="CU23" s="59"/>
    </row>
    <row r="24" spans="1:99" s="9" customFormat="1" ht="12" customHeight="1" x14ac:dyDescent="0.2">
      <c r="A24" s="37">
        <v>43979</v>
      </c>
      <c r="B24" s="1"/>
      <c r="C24" s="1"/>
      <c r="D24" s="32"/>
      <c r="E24" s="41"/>
      <c r="F24" s="32"/>
      <c r="G24" s="32"/>
      <c r="H24" s="32"/>
      <c r="I24" s="32"/>
      <c r="J24" s="32"/>
      <c r="K24" s="32"/>
      <c r="L24" s="32"/>
      <c r="M24" s="32"/>
      <c r="N24" s="32"/>
      <c r="O24" s="32"/>
      <c r="P24" s="32"/>
      <c r="Q24" s="32"/>
      <c r="R24" s="32"/>
      <c r="S24" s="32"/>
      <c r="T24" s="31"/>
      <c r="U24" s="32"/>
      <c r="V24" s="31"/>
      <c r="W24" s="32"/>
      <c r="X24" s="32"/>
      <c r="Y24" s="41"/>
      <c r="Z24" s="32"/>
      <c r="AA24" s="32"/>
      <c r="AB24" s="32"/>
      <c r="AC24" s="28"/>
      <c r="AD24" s="32"/>
      <c r="AE24" s="41"/>
      <c r="AF24" s="45"/>
      <c r="AG24" s="28"/>
      <c r="AH24" s="4"/>
      <c r="AI24" s="28"/>
      <c r="AJ24" s="51"/>
      <c r="AK24" s="28"/>
      <c r="AL24" s="28"/>
      <c r="AM24" s="28"/>
      <c r="AN24" s="28"/>
      <c r="AO24" s="47"/>
      <c r="AP24" s="47"/>
      <c r="AQ24" s="48"/>
      <c r="AR24" s="56"/>
      <c r="AS24" s="49"/>
      <c r="AT24" s="49"/>
      <c r="AU24" s="3"/>
      <c r="AV24" s="18">
        <f>60*10</f>
        <v>600</v>
      </c>
      <c r="AW24" s="18">
        <f>60*60*2</f>
        <v>7200</v>
      </c>
      <c r="AX24" s="18">
        <f>60*60*31</f>
        <v>111600</v>
      </c>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1"/>
      <c r="CS24" s="1"/>
      <c r="CT24" s="1"/>
      <c r="CU24" s="1"/>
    </row>
    <row r="25" spans="1:99" s="9" customFormat="1" ht="12" customHeight="1" x14ac:dyDescent="0.2">
      <c r="A25" s="37">
        <v>43979</v>
      </c>
      <c r="B25" s="1" t="s">
        <v>172</v>
      </c>
      <c r="C25" s="1" t="s">
        <v>173</v>
      </c>
      <c r="D25" s="32">
        <v>1992</v>
      </c>
      <c r="E25" s="41">
        <v>1</v>
      </c>
      <c r="F25" s="32">
        <v>10</v>
      </c>
      <c r="G25" s="32">
        <v>10</v>
      </c>
      <c r="H25" s="32" t="s">
        <v>28</v>
      </c>
      <c r="I25" s="32" t="s">
        <v>89</v>
      </c>
      <c r="J25" s="32" t="s">
        <v>82</v>
      </c>
      <c r="K25" s="32">
        <f>IF(J25="syllables",1,IF(J25="trigrams",2,IF(J25="strings",3,IF(J25="visual array",4,IF(J25="characters",5,IF(J25="letters",6,IF(J25="free forms",7,IF(J25="odors",8,IF(J25="words",9,IF(J25="pictures",10,IF(J25="object pictures",11,IF(J25="faces",12,IF(J25="names",13,IF(J25="idioms",14,IF(J25="grades",15,IF(J25="syllable-digit pairs",16,IF(J25="trigram-word pairs",17,IF(J25="word-digit pairs",18,IF(J25="English-Swahili pairs",19,IF(J25="spatial position",20,IF(J25="word pairs",21,IF(J25="word triads",22,IF(J25="generated words",23,IF(J25="word definition pairs",24,IF(J25="math problems",25,IF(J25="famous faces",26,IF(J25="famous names",27,IF(J25="famous voices",28,IF(J25="television programs",29,IF(J25="race horses",30,IF(J25="new vocabulary",31,IF(J25="sentences",32,IF(J25="concepts",33,IF(J25="ad slides",34,IF(J25="scenes",35,IF(J25="famous scenes",36,IF(J25="poems",37,IF(J25="walk",38,IF(J25="faces and events",39,IF(J25="events and names",40,IF(J25="flashbulb",41,IF(J25="stories",42,IF(J25="course material",43,IF(J25="autobiographical",44,IF(J25="novels",45,IF(J25="public events",46,"99"))))))))))))))))))))))))))))))))))))))))))))))</f>
        <v>10</v>
      </c>
      <c r="L25" s="32">
        <f>IF(J25="syllables",1,IF(J25="trigrams",1,IF(J25="strings",1,IF(J25="visual array",1,IF(J25="characters",1,IF(J25="letters",1,IF(J25="free forms",1,IF(J25="odors",2,IF(J25="words",2,IF(J25="pictures",2,IF(J25="object pictures",2,IF(J25="faces",2,IF(J25="names",2,IF(J25="idioms","2",IF(J25="grades",2,IF(J25="syllable-digit pairs",3,IF(J25="trigram-word pairs",3,IF(J25="word-digit pairs",3,IF(J25="English-Swahili pairs",3,IF(J25="spatial position",3,IF(J25="word pairs",4,IF(J25="word triads",4,IF(J25="generated words",4,IF(J25="word definition pairs",4,IF(J25="math problems",4,IF(J25="famous faces",4,IF(J25="famous names",4,IF(J25="famous voices",4,IF(J25="television programs",4,IF(J25="race horses",4,IF(J25="new vocabulary",4,IF(J25="sentences",5,IF(J25="concepts",5,IF(J25="ad slides",5,IF(J25="scenes",5,IF(J25="famous scenes",5,IF(J25="poems",6,IF(J25="walk",6,IF(J25="faces and events",6,IF(J25="events and names",6,IF(J25="flashbulb",7,IF(J25="stories",7,IF(J25="course material",7,IF(J25="autobiographical",7,IF(J25="novels",7,IF(J25="public events",7,"99"))))))))))))))))))))))))))))))))))))))))))))))</f>
        <v>2</v>
      </c>
      <c r="M25" s="32">
        <v>0</v>
      </c>
      <c r="N25" s="32">
        <v>1</v>
      </c>
      <c r="O25" s="32">
        <v>0</v>
      </c>
      <c r="P25" s="32"/>
      <c r="Q25" s="32" t="s">
        <v>18</v>
      </c>
      <c r="R25" s="32">
        <f>IF(Q25="Free Recall",1,IF(Q25="Cued Recall",2,IF(Q25="Recognition",3,IF(Q25="Multiple Choice",4,IF(Q25="Savings",5,IF(Q25="Stem Completion",6,IF(Q25="Fragment Completion",7,IF(Q25="anagram solution",8,IF(Q25="Matching",9,IF(Q25="Problem Solving",10,"99"))))))))))</f>
        <v>3</v>
      </c>
      <c r="S25" s="31" t="s">
        <v>196</v>
      </c>
      <c r="T25" s="31" t="s">
        <v>132</v>
      </c>
      <c r="U25" s="32">
        <f>IF(T25="within",1,0)</f>
        <v>1</v>
      </c>
      <c r="V25" s="31">
        <v>30</v>
      </c>
      <c r="W25" s="32">
        <f>F25*V25</f>
        <v>300</v>
      </c>
      <c r="X25" s="32">
        <v>3</v>
      </c>
      <c r="Y25" s="41">
        <f>AV24</f>
        <v>600</v>
      </c>
      <c r="Z25" s="32" t="s">
        <v>174</v>
      </c>
      <c r="AA25" s="32">
        <f>60*60*31</f>
        <v>111600</v>
      </c>
      <c r="AB25" s="32" t="str">
        <f>IF(AA25&lt;60,"1",IF(AA25&lt;=43200,"2",IF(AA25&lt;=777600,"3","4")))</f>
        <v>3</v>
      </c>
      <c r="AC25" s="28">
        <f>AVERAGE(AV24:DA24)</f>
        <v>39800</v>
      </c>
      <c r="AD25" s="32" t="str">
        <f>IF(AC25&lt;60,"1",IF(AC25&lt;=43200,"2",IF(AC25&lt;=777600,"3","4")))</f>
        <v>2</v>
      </c>
      <c r="AE25" s="41">
        <f>AA25-Y25</f>
        <v>111000</v>
      </c>
      <c r="AF25" s="45">
        <f>AV25</f>
        <v>1.9500924186938677</v>
      </c>
      <c r="AG25" s="28">
        <f>((AW25-AV25)+(AX25-AW25))/2</f>
        <v>-0.58762683064586685</v>
      </c>
      <c r="AH25" s="4"/>
      <c r="AI25" s="28">
        <f>RSQ(AV25:AX25,AV24:AX24)</f>
        <v>0.80740791491291619</v>
      </c>
      <c r="AJ25" s="51">
        <f>SLOPE(AV25:AX25,AV24:AX24)</f>
        <v>-8.4808557537713678E-6</v>
      </c>
      <c r="AK25" s="28">
        <f>INTERCEPT(AV25:AX25,AV24:AX24)</f>
        <v>1.7055190362171644</v>
      </c>
      <c r="AL25" s="28">
        <f>INDEX(LINEST(LN(AV25:AX25),LN(AV24:AX24),TRUE,TRUE),3,1)</f>
        <v>0.98692487987137489</v>
      </c>
      <c r="AM25" s="28">
        <f>INDEX(LINEST(LN(AV25:AX25),LN(AV24:AX24)),1)</f>
        <v>-0.17719780295865997</v>
      </c>
      <c r="AN25" s="28">
        <f>EXP(INDEX(LINEST(LN(AV25:AX25),LN(AV24:AX24)),1,2))</f>
        <v>6.2568279805252649</v>
      </c>
      <c r="AO25" s="47">
        <f>INDEX(LINEST((AV25:AX25),LN(AV24:AX24),TRUE,TRUE),3,1)</f>
        <v>0.99985569252502215</v>
      </c>
      <c r="AP25" s="47">
        <f>INDEX(LINEST((AV25:AX25),LN(AV24:AX24)),1)</f>
        <v>-0.22482042055508536</v>
      </c>
      <c r="AQ25" s="48">
        <f>INDEX(LINEST(LN(AV25:AX25),SQRT(AV24:AX24),TRUE,TRUE),3,1)</f>
        <v>0.96215696991533461</v>
      </c>
      <c r="AR25" s="56">
        <f>INDEX(LINEST(LN(AV25:AX25),SQRT((AV24:AX24))),1)</f>
        <v>-2.7868080664488837E-3</v>
      </c>
      <c r="AS25" s="49">
        <f>INDEX(LINEST(1/(AV25:AX25),1/(SQRT(AV24:AX24)),TRUE,TRUE),3,1)</f>
        <v>0.72141789497417141</v>
      </c>
      <c r="AT25" s="49">
        <f>INDEX(LINEST(1/(AV25:AX25),1/SQRT(AV24:AX24)),1)</f>
        <v>-17.247574938138769</v>
      </c>
      <c r="AU25" s="3"/>
      <c r="AV25" s="25">
        <v>1.9500924186938677</v>
      </c>
      <c r="AW25" s="25">
        <v>1.3790117555551904</v>
      </c>
      <c r="AX25" s="25">
        <v>0.77483875740213404</v>
      </c>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1"/>
      <c r="CS25" s="1"/>
      <c r="CT25" s="1"/>
      <c r="CU25" s="1"/>
    </row>
    <row r="26" spans="1:99" s="9" customFormat="1" ht="12" customHeight="1" x14ac:dyDescent="0.2">
      <c r="A26" s="37">
        <v>43509</v>
      </c>
      <c r="B26" s="1"/>
      <c r="C26" s="1"/>
      <c r="D26" s="32"/>
      <c r="E26" s="41"/>
      <c r="F26" s="32"/>
      <c r="G26" s="32"/>
      <c r="H26" s="32"/>
      <c r="I26" s="32"/>
      <c r="J26" s="32"/>
      <c r="K26" s="36"/>
      <c r="L26" s="36"/>
      <c r="M26" s="32"/>
      <c r="N26" s="32"/>
      <c r="O26" s="32"/>
      <c r="P26" s="32"/>
      <c r="Q26" s="32"/>
      <c r="R26" s="32"/>
      <c r="S26" s="32"/>
      <c r="T26" s="32"/>
      <c r="U26" s="32"/>
      <c r="V26" s="32"/>
      <c r="W26" s="32"/>
      <c r="X26" s="32"/>
      <c r="Y26" s="41"/>
      <c r="Z26" s="32"/>
      <c r="AA26" s="32"/>
      <c r="AB26" s="32"/>
      <c r="AC26" s="32"/>
      <c r="AD26" s="32"/>
      <c r="AE26" s="32"/>
      <c r="AF26" s="45"/>
      <c r="AG26" s="28"/>
      <c r="AH26" s="4"/>
      <c r="AI26" s="28"/>
      <c r="AJ26" s="51"/>
      <c r="AK26" s="28"/>
      <c r="AL26" s="28"/>
      <c r="AM26" s="28"/>
      <c r="AN26" s="28"/>
      <c r="AO26" s="28"/>
      <c r="AP26" s="28"/>
      <c r="AQ26" s="47"/>
      <c r="AR26" s="55"/>
      <c r="AS26" s="47"/>
      <c r="AT26" s="47"/>
      <c r="AU26" s="4"/>
      <c r="AV26" s="18">
        <v>576</v>
      </c>
      <c r="AW26" s="18">
        <f>24*3600*2</f>
        <v>172800</v>
      </c>
      <c r="AX26" s="18">
        <f>24*3600*7</f>
        <v>604800</v>
      </c>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1"/>
      <c r="CS26" s="1"/>
      <c r="CT26" s="1"/>
      <c r="CU26" s="1"/>
    </row>
    <row r="27" spans="1:99" s="9" customFormat="1" ht="12" customHeight="1" x14ac:dyDescent="0.2">
      <c r="A27" s="37">
        <v>43509</v>
      </c>
      <c r="B27" s="1" t="s">
        <v>49</v>
      </c>
      <c r="C27" s="1" t="s">
        <v>33</v>
      </c>
      <c r="D27" s="32">
        <v>2001</v>
      </c>
      <c r="E27" s="41">
        <v>2</v>
      </c>
      <c r="F27" s="32">
        <v>72</v>
      </c>
      <c r="G27" s="32">
        <v>24</v>
      </c>
      <c r="H27" s="32" t="s">
        <v>14</v>
      </c>
      <c r="I27" s="32" t="s">
        <v>155</v>
      </c>
      <c r="J27" s="32" t="s">
        <v>12</v>
      </c>
      <c r="K27" s="32">
        <f>IF(J27="syllables",1,IF(J27="trigrams",2,IF(J27="strings",3,IF(J27="visual array",4,IF(J27="characters",5,IF(J27="letters",6,IF(J27="free forms",7,IF(J27="odors",8,IF(J27="words",9,IF(J27="pictures",10,IF(J27="object pictures",11,IF(J27="faces",12,IF(J27="names",13,IF(J27="idioms",14,IF(J27="grades",15,IF(J27="syllable-digit pairs",16,IF(J27="trigram-word pairs",17,IF(J27="word-digit pairs",18,IF(J27="English-Swahili pairs",19,IF(J27="spatial position",20,IF(J27="word pairs",21,IF(J27="word triads",22,IF(J27="generated words",23,IF(J27="word definition pairs",24,IF(J27="math problems",25,IF(J27="famous faces",26,IF(J27="famous names",27,IF(J27="famous voices",28,IF(J27="television programs",29,IF(J27="race horses",30,IF(J27="new vocabulary",31,IF(J27="sentences",32,IF(J27="concepts",33,IF(J27="ad slides",34,IF(J27="scenes",35,IF(J27="famous scenes",36,IF(J27="poems",37,IF(J27="walk",38,IF(J27="faces and events",39,IF(J27="events and names",40,IF(J27="flashbulb",41,IF(J27="stories",42,IF(J27="course material",43,IF(J27="autobiographical",44,IF(J27="novels",45,IF(J27="public events",46,"99"))))))))))))))))))))))))))))))))))))))))))))))</f>
        <v>9</v>
      </c>
      <c r="L27" s="32">
        <f>IF(J27="syllables",1,IF(J27="trigrams",1,IF(J27="strings",1,IF(J27="visual array",1,IF(J27="characters",1,IF(J27="letters",1,IF(J27="free forms",1,IF(J27="odors",2,IF(J27="words",2,IF(J27="pictures",2,IF(J27="object pictures",2,IF(J27="faces",2,IF(J27="names",2,IF(J27="idioms","2",IF(J27="grades",2,IF(J27="syllable-digit pairs",3,IF(J27="trigram-word pairs",3,IF(J27="word-digit pairs",3,IF(J27="English-Swahili pairs",3,IF(J27="spatial position",3,IF(J27="word pairs",4,IF(J27="word triads",4,IF(J27="generated words",4,IF(J27="word definition pairs",4,IF(J27="math problems",4,IF(J27="famous faces",4,IF(J27="famous names",4,IF(J27="famous voices",4,IF(J27="television programs",4,IF(J27="race horses",4,IF(J27="new vocabulary",4,IF(J27="sentences",5,IF(J27="concepts",5,IF(J27="ad slides",5,IF(J27="scenes",5,IF(J27="famous scenes",5,IF(J27="poems",6,IF(J27="walk",6,IF(J27="faces and events",6,IF(J27="events and names",6,IF(J27="flashbulb",7,IF(J27="stories",7,IF(J27="course material",7,IF(J27="autobiographical",7,IF(J27="novels",7,IF(J27="public events",7,"99"))))))))))))))))))))))))))))))))))))))))))))))</f>
        <v>2</v>
      </c>
      <c r="M27" s="32">
        <v>0</v>
      </c>
      <c r="N27" s="32">
        <v>1</v>
      </c>
      <c r="O27" s="32">
        <v>0</v>
      </c>
      <c r="P27" s="32"/>
      <c r="Q27" s="32" t="s">
        <v>18</v>
      </c>
      <c r="R27" s="32">
        <f>IF(Q27="Free Recall",1,IF(Q27="Cued Recall",2,IF(Q27="Recognition",3,IF(Q27="Multiple Choice",4,IF(Q27="Savings",5,IF(Q27="Stem Completion",6,IF(Q27="Fragment Completion",7,IF(Q27="anagram solution",8,IF(Q27="Matching",9,IF(Q27="Problem Solving",10,"99"))))))))))</f>
        <v>3</v>
      </c>
      <c r="S27" s="77" t="s">
        <v>196</v>
      </c>
      <c r="T27" s="32" t="s">
        <v>72</v>
      </c>
      <c r="U27" s="32">
        <f>IF(T27="within",1,0)</f>
        <v>0</v>
      </c>
      <c r="V27" s="32">
        <v>288</v>
      </c>
      <c r="W27" s="32">
        <f>F27*V27</f>
        <v>20736</v>
      </c>
      <c r="X27" s="32">
        <v>3</v>
      </c>
      <c r="Y27" s="41">
        <f>AV26</f>
        <v>576</v>
      </c>
      <c r="Z27" s="32" t="s">
        <v>41</v>
      </c>
      <c r="AA27" s="32">
        <v>604800</v>
      </c>
      <c r="AB27" s="32" t="str">
        <f>IF(AA27&lt;60,"1",IF(AA27&lt;=43200,"2",IF(AA27&lt;=777600,"3","4")))</f>
        <v>3</v>
      </c>
      <c r="AC27" s="28">
        <f>AVERAGE(AV26:DA26)</f>
        <v>259392</v>
      </c>
      <c r="AD27" s="32" t="str">
        <f>IF(AC27&lt;60,"1",IF(AC27&lt;=43200,"2",IF(AC27&lt;=777600,"3","4")))</f>
        <v>3</v>
      </c>
      <c r="AE27" s="41">
        <f>AA27-Y27</f>
        <v>604224</v>
      </c>
      <c r="AF27" s="45">
        <f>AV27</f>
        <v>3.0322376367967703</v>
      </c>
      <c r="AG27" s="28">
        <f>((AW27-AV27)+(AX27-AW27))/2</f>
        <v>-0.93094876962661743</v>
      </c>
      <c r="AH27" s="4"/>
      <c r="AI27" s="28">
        <f>RSQ(AV27:AX27,AV26:AX26)</f>
        <v>0.62492589914768337</v>
      </c>
      <c r="AJ27" s="51">
        <f>SLOPE(AV27:AX27,AV26:AX26)</f>
        <v>-2.5844693638728225E-6</v>
      </c>
      <c r="AK27" s="28">
        <f>INTERCEPT(AV27:AX27,AV26:AX26)</f>
        <v>2.5343375067769536</v>
      </c>
      <c r="AL27" s="28">
        <f>INDEX(LINEST(LN(AV27:AX27),LN(AV26:AX26),TRUE,TRUE),3,1)</f>
        <v>0.9999999983865413</v>
      </c>
      <c r="AM27" s="28">
        <f>INDEX(LINEST(LN(AV27:AX27),LN(AV26:AX26)),1)</f>
        <v>-0.13684843067023847</v>
      </c>
      <c r="AN27" s="28">
        <f>EXP(INDEX(LINEST(LN(AV27:AX27),LN(AV26:AX26)),1,2))</f>
        <v>7.2364313348111056</v>
      </c>
      <c r="AO27" s="47">
        <f>INDEX(LINEST((AV27:AX27),LN(AV26:AX26),TRUE,TRUE),3,1)</f>
        <v>0.99616443319401582</v>
      </c>
      <c r="AP27" s="47">
        <f>INDEX(LINEST((AV27:AX27),LN(AV26:AX26)),1)</f>
        <v>-0.27392581566916135</v>
      </c>
      <c r="AQ27" s="48">
        <f>INDEX(LINEST(LN(AV27:AX27),SQRT(AV26:AX26),TRUE,TRUE),3,1)</f>
        <v>0.89433650434760348</v>
      </c>
      <c r="AR27" s="56">
        <f>INDEX(LINEST(LN(AV27:AX27),SQRT((AV26:AX26))),1)</f>
        <v>-1.27308343190311E-3</v>
      </c>
      <c r="AS27" s="49">
        <f>INDEX(LINEST(1/(AV27:AX27),1/(SQRT(AV26:AX26)),TRUE,TRUE),3,1)</f>
        <v>0.95009247928899332</v>
      </c>
      <c r="AT27" s="49">
        <f>INDEX(LINEST(1/(AV27:AX27),1/SQRT(AV26:AX26)),1)</f>
        <v>-11.549376876272369</v>
      </c>
      <c r="AU27" s="3"/>
      <c r="AV27" s="25">
        <v>3.0322376367967703</v>
      </c>
      <c r="AW27" s="25">
        <v>1.3892627542894569</v>
      </c>
      <c r="AX27" s="25">
        <v>1.1703400975435354</v>
      </c>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1"/>
      <c r="CS27" s="1"/>
      <c r="CT27" s="1"/>
      <c r="CU27" s="1"/>
    </row>
    <row r="28" spans="1:99" s="9" customFormat="1" ht="12" customHeight="1" x14ac:dyDescent="0.2">
      <c r="A28" s="37">
        <v>43509</v>
      </c>
      <c r="B28" s="1"/>
      <c r="C28" s="1"/>
      <c r="D28" s="32"/>
      <c r="E28" s="41"/>
      <c r="F28" s="32"/>
      <c r="G28" s="32"/>
      <c r="H28" s="32"/>
      <c r="I28" s="32"/>
      <c r="J28" s="32"/>
      <c r="K28" s="36"/>
      <c r="L28" s="36"/>
      <c r="M28" s="32"/>
      <c r="N28" s="32"/>
      <c r="O28" s="32"/>
      <c r="P28" s="32"/>
      <c r="Q28" s="32"/>
      <c r="R28" s="32"/>
      <c r="S28" s="77"/>
      <c r="T28" s="32"/>
      <c r="U28" s="32"/>
      <c r="V28" s="32"/>
      <c r="W28" s="32"/>
      <c r="X28" s="32"/>
      <c r="Y28" s="41"/>
      <c r="Z28" s="32"/>
      <c r="AA28" s="32"/>
      <c r="AB28" s="32"/>
      <c r="AC28" s="32"/>
      <c r="AD28" s="32"/>
      <c r="AE28" s="32"/>
      <c r="AF28" s="45"/>
      <c r="AG28" s="28"/>
      <c r="AH28" s="4"/>
      <c r="AI28" s="28"/>
      <c r="AJ28" s="51"/>
      <c r="AK28" s="28"/>
      <c r="AL28" s="28"/>
      <c r="AM28" s="28"/>
      <c r="AN28" s="28"/>
      <c r="AO28" s="28"/>
      <c r="AP28" s="28"/>
      <c r="AQ28" s="47"/>
      <c r="AR28" s="55"/>
      <c r="AS28" s="47"/>
      <c r="AT28" s="47"/>
      <c r="AU28" s="4"/>
      <c r="AV28" s="18">
        <v>576</v>
      </c>
      <c r="AW28" s="18">
        <f>24*3600*2</f>
        <v>172800</v>
      </c>
      <c r="AX28" s="18">
        <f>24*3600*7</f>
        <v>604800</v>
      </c>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1"/>
      <c r="CS28" s="1"/>
      <c r="CT28" s="1"/>
      <c r="CU28" s="1"/>
    </row>
    <row r="29" spans="1:99" s="9" customFormat="1" ht="12" customHeight="1" x14ac:dyDescent="0.2">
      <c r="A29" s="37">
        <v>43509</v>
      </c>
      <c r="B29" s="1" t="s">
        <v>49</v>
      </c>
      <c r="C29" s="1" t="s">
        <v>33</v>
      </c>
      <c r="D29" s="32">
        <v>2001</v>
      </c>
      <c r="E29" s="41">
        <v>2</v>
      </c>
      <c r="F29" s="32">
        <v>72</v>
      </c>
      <c r="G29" s="32">
        <v>24</v>
      </c>
      <c r="H29" s="32" t="s">
        <v>14</v>
      </c>
      <c r="I29" s="32" t="s">
        <v>116</v>
      </c>
      <c r="J29" s="32" t="s">
        <v>12</v>
      </c>
      <c r="K29" s="32">
        <f>IF(J29="syllables",1,IF(J29="trigrams",2,IF(J29="strings",3,IF(J29="visual array",4,IF(J29="characters",5,IF(J29="letters",6,IF(J29="free forms",7,IF(J29="odors",8,IF(J29="words",9,IF(J29="pictures",10,IF(J29="object pictures",11,IF(J29="faces",12,IF(J29="names",13,IF(J29="idioms",14,IF(J29="grades",15,IF(J29="syllable-digit pairs",16,IF(J29="trigram-word pairs",17,IF(J29="word-digit pairs",18,IF(J29="English-Swahili pairs",19,IF(J29="spatial position",20,IF(J29="word pairs",21,IF(J29="word triads",22,IF(J29="generated words",23,IF(J29="word definition pairs",24,IF(J29="math problems",25,IF(J29="famous faces",26,IF(J29="famous names",27,IF(J29="famous voices",28,IF(J29="television programs",29,IF(J29="race horses",30,IF(J29="new vocabulary",31,IF(J29="sentences",32,IF(J29="concepts",33,IF(J29="ad slides",34,IF(J29="scenes",35,IF(J29="famous scenes",36,IF(J29="poems",37,IF(J29="walk",38,IF(J29="faces and events",39,IF(J29="events and names",40,IF(J29="flashbulb",41,IF(J29="stories",42,IF(J29="course material",43,IF(J29="autobiographical",44,IF(J29="novels",45,IF(J29="public events",46,"99"))))))))))))))))))))))))))))))))))))))))))))))</f>
        <v>9</v>
      </c>
      <c r="L29" s="32">
        <f>IF(J29="syllables",1,IF(J29="trigrams",1,IF(J29="strings",1,IF(J29="visual array",1,IF(J29="characters",1,IF(J29="letters",1,IF(J29="free forms",1,IF(J29="odors",2,IF(J29="words",2,IF(J29="pictures",2,IF(J29="object pictures",2,IF(J29="faces",2,IF(J29="names",2,IF(J29="idioms","2",IF(J29="grades",2,IF(J29="syllable-digit pairs",3,IF(J29="trigram-word pairs",3,IF(J29="word-digit pairs",3,IF(J29="English-Swahili pairs",3,IF(J29="spatial position",3,IF(J29="word pairs",4,IF(J29="word triads",4,IF(J29="generated words",4,IF(J29="word definition pairs",4,IF(J29="math problems",4,IF(J29="famous faces",4,IF(J29="famous names",4,IF(J29="famous voices",4,IF(J29="television programs",4,IF(J29="race horses",4,IF(J29="new vocabulary",4,IF(J29="sentences",5,IF(J29="concepts",5,IF(J29="ad slides",5,IF(J29="scenes",5,IF(J29="famous scenes",5,IF(J29="poems",6,IF(J29="walk",6,IF(J29="faces and events",6,IF(J29="events and names",6,IF(J29="flashbulb",7,IF(J29="stories",7,IF(J29="course material",7,IF(J29="autobiographical",7,IF(J29="novels",7,IF(J29="public events",7,"99"))))))))))))))))))))))))))))))))))))))))))))))</f>
        <v>2</v>
      </c>
      <c r="M29" s="32">
        <v>0</v>
      </c>
      <c r="N29" s="32">
        <v>1</v>
      </c>
      <c r="O29" s="32">
        <v>0</v>
      </c>
      <c r="P29" s="32"/>
      <c r="Q29" s="32" t="s">
        <v>18</v>
      </c>
      <c r="R29" s="32">
        <f>IF(Q29="Free Recall",1,IF(Q29="Cued Recall",2,IF(Q29="Recognition",3,IF(Q29="Multiple Choice",4,IF(Q29="Savings",5,IF(Q29="Stem Completion",6,IF(Q29="Fragment Completion",7,IF(Q29="anagram solution",8,IF(Q29="Matching",9,IF(Q29="Problem Solving",10,"99"))))))))))</f>
        <v>3</v>
      </c>
      <c r="S29" s="77" t="s">
        <v>196</v>
      </c>
      <c r="T29" s="32" t="s">
        <v>72</v>
      </c>
      <c r="U29" s="32">
        <f>IF(T29="within",1,0)</f>
        <v>0</v>
      </c>
      <c r="V29" s="32">
        <v>288</v>
      </c>
      <c r="W29" s="32">
        <f>F29*V29</f>
        <v>20736</v>
      </c>
      <c r="X29" s="32">
        <v>3</v>
      </c>
      <c r="Y29" s="41">
        <f>AV28</f>
        <v>576</v>
      </c>
      <c r="Z29" s="32" t="s">
        <v>41</v>
      </c>
      <c r="AA29" s="32">
        <v>604800</v>
      </c>
      <c r="AB29" s="32" t="str">
        <f>IF(AA29&lt;60,"1",IF(AA29&lt;=43200,"2",IF(AA29&lt;=777600,"3","4")))</f>
        <v>3</v>
      </c>
      <c r="AC29" s="28">
        <f>AVERAGE(AV28:DA28)</f>
        <v>259392</v>
      </c>
      <c r="AD29" s="32" t="str">
        <f>IF(AC29&lt;60,"1",IF(AC29&lt;=43200,"2",IF(AC29&lt;=777600,"3","4")))</f>
        <v>3</v>
      </c>
      <c r="AE29" s="41">
        <f>AA29-Y29</f>
        <v>604224</v>
      </c>
      <c r="AF29" s="45">
        <f>AV29</f>
        <v>1.5487925921103185</v>
      </c>
      <c r="AG29" s="28">
        <f>((AW29-AV29)+(AX29-AW29))/2</f>
        <v>-0.43828403999100185</v>
      </c>
      <c r="AH29" s="4"/>
      <c r="AI29" s="28">
        <f>RSQ(AV29:AX29,AV28:AX28)</f>
        <v>0.48060844551595716</v>
      </c>
      <c r="AJ29" s="51">
        <f>SLOPE(AV29:AX29,AV28:AX28)</f>
        <v>-1.1531669233922408E-6</v>
      </c>
      <c r="AK29" s="28">
        <f>INTERCEPT(AV29:AX29,AV28:AX28)</f>
        <v>1.2504596729174211</v>
      </c>
      <c r="AL29" s="28">
        <f>INDEX(LINEST(LN(AV29:AX29),LN(AV28:AX28),TRUE,TRUE),3,1)</f>
        <v>0.94807531256110089</v>
      </c>
      <c r="AM29" s="28">
        <f>INDEX(LINEST(LN(AV29:AX29),LN(AV28:AX28)),1)</f>
        <v>-0.13133275041199524</v>
      </c>
      <c r="AN29" s="28">
        <f>EXP(INDEX(LINEST(LN(AV29:AX29),LN(AV28:AX28)),1,2))</f>
        <v>3.4903791790800467</v>
      </c>
      <c r="AO29" s="47">
        <f>INDEX(LINEST((AV29:AX29),LN(AV28:AX28),TRUE,TRUE),3,1)</f>
        <v>0.95750507279464359</v>
      </c>
      <c r="AP29" s="47">
        <f>INDEX(LINEST((AV29:AX29),LN(AV28:AX28)),1)</f>
        <v>-0.13663983869456767</v>
      </c>
      <c r="AQ29" s="48">
        <f>INDEX(LINEST(LN(AV29:AX29),SQRT(AV28:AX28),TRUE,TRUE),3,1)</f>
        <v>0.71693710807450195</v>
      </c>
      <c r="AR29" s="56">
        <f>INDEX(LINEST(LN(AV29:AX29),SQRT((AV28:AX28))),1)</f>
        <v>-1.1234628497298312E-3</v>
      </c>
      <c r="AS29" s="49">
        <f>INDEX(LINEST(1/(AV29:AX29),1/(SQRT(AV28:AX28)),TRUE,TRUE),3,1)</f>
        <v>0.98705679046040895</v>
      </c>
      <c r="AT29" s="49">
        <f>INDEX(LINEST(1/(AV29:AX29),1/SQRT(AV28:AX28)),1)</f>
        <v>-22.238582587373347</v>
      </c>
      <c r="AU29" s="3"/>
      <c r="AV29" s="25">
        <v>1.5487925921103185</v>
      </c>
      <c r="AW29" s="25">
        <v>0.63299509073594995</v>
      </c>
      <c r="AX29" s="25">
        <v>0.6722245121283148</v>
      </c>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1"/>
      <c r="CS29" s="1"/>
      <c r="CT29" s="1"/>
      <c r="CU29" s="1"/>
    </row>
    <row r="30" spans="1:99" s="9" customFormat="1" ht="12" customHeight="1" x14ac:dyDescent="0.2">
      <c r="A30" s="37">
        <v>43509</v>
      </c>
      <c r="B30" s="1"/>
      <c r="C30" s="1"/>
      <c r="D30" s="32"/>
      <c r="E30" s="41"/>
      <c r="F30" s="32"/>
      <c r="G30" s="32"/>
      <c r="H30" s="32"/>
      <c r="I30" s="32"/>
      <c r="J30" s="32"/>
      <c r="K30" s="36"/>
      <c r="L30" s="36"/>
      <c r="M30" s="32"/>
      <c r="N30" s="32"/>
      <c r="O30" s="32"/>
      <c r="P30" s="32"/>
      <c r="Q30" s="32"/>
      <c r="R30" s="32"/>
      <c r="S30" s="77"/>
      <c r="T30" s="32"/>
      <c r="U30" s="32"/>
      <c r="V30" s="32"/>
      <c r="W30" s="32"/>
      <c r="X30" s="32"/>
      <c r="Y30" s="41"/>
      <c r="Z30" s="32"/>
      <c r="AA30" s="32"/>
      <c r="AB30" s="32"/>
      <c r="AC30" s="32"/>
      <c r="AD30" s="32"/>
      <c r="AE30" s="32"/>
      <c r="AF30" s="45"/>
      <c r="AG30" s="28"/>
      <c r="AH30" s="4"/>
      <c r="AI30" s="28"/>
      <c r="AJ30" s="51"/>
      <c r="AK30" s="28"/>
      <c r="AL30" s="28"/>
      <c r="AM30" s="28"/>
      <c r="AN30" s="28"/>
      <c r="AO30" s="28"/>
      <c r="AP30" s="28"/>
      <c r="AQ30" s="47"/>
      <c r="AR30" s="55"/>
      <c r="AS30" s="47"/>
      <c r="AT30" s="47"/>
      <c r="AU30" s="4"/>
      <c r="AV30" s="18">
        <v>576</v>
      </c>
      <c r="AW30" s="18">
        <f>24*3600*2</f>
        <v>172800</v>
      </c>
      <c r="AX30" s="18">
        <f>24*3600*7</f>
        <v>604800</v>
      </c>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1"/>
      <c r="CS30" s="1"/>
      <c r="CT30" s="1"/>
      <c r="CU30" s="1"/>
    </row>
    <row r="31" spans="1:99" s="9" customFormat="1" ht="12" customHeight="1" x14ac:dyDescent="0.2">
      <c r="A31" s="37">
        <v>43509</v>
      </c>
      <c r="B31" s="1" t="s">
        <v>49</v>
      </c>
      <c r="C31" s="1" t="s">
        <v>33</v>
      </c>
      <c r="D31" s="32">
        <v>2001</v>
      </c>
      <c r="E31" s="41">
        <v>2</v>
      </c>
      <c r="F31" s="32">
        <v>72</v>
      </c>
      <c r="G31" s="32">
        <v>24</v>
      </c>
      <c r="H31" s="32" t="s">
        <v>14</v>
      </c>
      <c r="I31" s="32" t="s">
        <v>156</v>
      </c>
      <c r="J31" s="32" t="s">
        <v>12</v>
      </c>
      <c r="K31" s="32">
        <f>IF(J31="syllables",1,IF(J31="trigrams",2,IF(J31="strings",3,IF(J31="visual array",4,IF(J31="characters",5,IF(J31="letters",6,IF(J31="free forms",7,IF(J31="odors",8,IF(J31="words",9,IF(J31="pictures",10,IF(J31="object pictures",11,IF(J31="faces",12,IF(J31="names",13,IF(J31="idioms",14,IF(J31="grades",15,IF(J31="syllable-digit pairs",16,IF(J31="trigram-word pairs",17,IF(J31="word-digit pairs",18,IF(J31="English-Swahili pairs",19,IF(J31="spatial position",20,IF(J31="word pairs",21,IF(J31="word triads",22,IF(J31="generated words",23,IF(J31="word definition pairs",24,IF(J31="math problems",25,IF(J31="famous faces",26,IF(J31="famous names",27,IF(J31="famous voices",28,IF(J31="television programs",29,IF(J31="race horses",30,IF(J31="new vocabulary",31,IF(J31="sentences",32,IF(J31="concepts",33,IF(J31="ad slides",34,IF(J31="scenes",35,IF(J31="famous scenes",36,IF(J31="poems",37,IF(J31="walk",38,IF(J31="faces and events",39,IF(J31="events and names",40,IF(J31="flashbulb",41,IF(J31="stories",42,IF(J31="course material",43,IF(J31="autobiographical",44,IF(J31="novels",45,IF(J31="public events",46,"99"))))))))))))))))))))))))))))))))))))))))))))))</f>
        <v>9</v>
      </c>
      <c r="L31" s="32">
        <f>IF(J31="syllables",1,IF(J31="trigrams",1,IF(J31="strings",1,IF(J31="visual array",1,IF(J31="characters",1,IF(J31="letters",1,IF(J31="free forms",1,IF(J31="odors",2,IF(J31="words",2,IF(J31="pictures",2,IF(J31="object pictures",2,IF(J31="faces",2,IF(J31="names",2,IF(J31="idioms","2",IF(J31="grades",2,IF(J31="syllable-digit pairs",3,IF(J31="trigram-word pairs",3,IF(J31="word-digit pairs",3,IF(J31="English-Swahili pairs",3,IF(J31="spatial position",3,IF(J31="word pairs",4,IF(J31="word triads",4,IF(J31="generated words",4,IF(J31="word definition pairs",4,IF(J31="math problems",4,IF(J31="famous faces",4,IF(J31="famous names",4,IF(J31="famous voices",4,IF(J31="television programs",4,IF(J31="race horses",4,IF(J31="new vocabulary",4,IF(J31="sentences",5,IF(J31="concepts",5,IF(J31="ad slides",5,IF(J31="scenes",5,IF(J31="famous scenes",5,IF(J31="poems",6,IF(J31="walk",6,IF(J31="faces and events",6,IF(J31="events and names",6,IF(J31="flashbulb",7,IF(J31="stories",7,IF(J31="course material",7,IF(J31="autobiographical",7,IF(J31="novels",7,IF(J31="public events",7,"99"))))))))))))))))))))))))))))))))))))))))))))))</f>
        <v>2</v>
      </c>
      <c r="M31" s="32">
        <v>0</v>
      </c>
      <c r="N31" s="32">
        <v>1</v>
      </c>
      <c r="O31" s="32">
        <v>0</v>
      </c>
      <c r="P31" s="32"/>
      <c r="Q31" s="32" t="s">
        <v>18</v>
      </c>
      <c r="R31" s="32">
        <f>IF(Q31="Free Recall",1,IF(Q31="Cued Recall",2,IF(Q31="Recognition",3,IF(Q31="Multiple Choice",4,IF(Q31="Savings",5,IF(Q31="Stem Completion",6,IF(Q31="Fragment Completion",7,IF(Q31="anagram solution",8,IF(Q31="Matching",9,IF(Q31="Problem Solving",10,"99"))))))))))</f>
        <v>3</v>
      </c>
      <c r="S31" s="77" t="s">
        <v>196</v>
      </c>
      <c r="T31" s="32" t="s">
        <v>72</v>
      </c>
      <c r="U31" s="32">
        <f>IF(T31="within",1,0)</f>
        <v>0</v>
      </c>
      <c r="V31" s="32">
        <v>288</v>
      </c>
      <c r="W31" s="32">
        <f>F31*V31</f>
        <v>20736</v>
      </c>
      <c r="X31" s="32">
        <v>3</v>
      </c>
      <c r="Y31" s="41">
        <f>AV30</f>
        <v>576</v>
      </c>
      <c r="Z31" s="32" t="s">
        <v>41</v>
      </c>
      <c r="AA31" s="32">
        <v>604800</v>
      </c>
      <c r="AB31" s="32" t="str">
        <f>IF(AA31&lt;60,"1",IF(AA31&lt;=43200,"2",IF(AA31&lt;=777600,"3","4")))</f>
        <v>3</v>
      </c>
      <c r="AC31" s="28">
        <f>AVERAGE(AV30:DA30)</f>
        <v>259392</v>
      </c>
      <c r="AD31" s="32" t="str">
        <f>IF(AC31&lt;60,"1",IF(AC31&lt;=43200,"2",IF(AC31&lt;=777600,"3","4")))</f>
        <v>3</v>
      </c>
      <c r="AE31" s="41">
        <f>AA31-Y31</f>
        <v>604224</v>
      </c>
      <c r="AF31" s="45">
        <f>AV31</f>
        <v>1.3382229418107645</v>
      </c>
      <c r="AG31" s="28">
        <f>((AW31-AV31)+(AX31-AW31))/2</f>
        <v>-0.42118629723165546</v>
      </c>
      <c r="AH31" s="4"/>
      <c r="AI31" s="28">
        <f>RSQ(AV31:AX31,AV30:AX30)</f>
        <v>0.61157243794703697</v>
      </c>
      <c r="AJ31" s="51">
        <f>SLOPE(AV31:AX31,AV30:AX30)</f>
        <v>-1.1638968245435149E-6</v>
      </c>
      <c r="AK31" s="28">
        <f>INTERCEPT(AV31:AX31,AV30:AX30)</f>
        <v>1.1075437905884695</v>
      </c>
      <c r="AL31" s="28">
        <f>INDEX(LINEST(LN(AV31:AX31),LN(AV30:AX30),TRUE,TRUE),3,1)</f>
        <v>0.99969598315238284</v>
      </c>
      <c r="AM31" s="28">
        <f>INDEX(LINEST(LN(AV31:AX31),LN(AV30:AX30)),1)</f>
        <v>-0.14364326742087472</v>
      </c>
      <c r="AN31" s="28">
        <f>EXP(INDEX(LINEST(LN(AV31:AX31),LN(AV30:AX30)),1,2))</f>
        <v>3.3285702291439874</v>
      </c>
      <c r="AO31" s="47">
        <f>INDEX(LINEST((AV31:AX31),LN(AV30:AX30),TRUE,TRUE),3,1)</f>
        <v>0.99427811656421505</v>
      </c>
      <c r="AP31" s="47">
        <f>INDEX(LINEST((AV31:AX31),LN(AV30:AX30)),1)</f>
        <v>-0.12458185483735776</v>
      </c>
      <c r="AQ31" s="48">
        <f>INDEX(LINEST(LN(AV31:AX31),SQRT(AV30:AX30),TRUE,TRUE),3,1)</f>
        <v>0.88335265159697651</v>
      </c>
      <c r="AR31" s="56">
        <f>INDEX(LINEST(LN(AV31:AX31),SQRT((AV30:AX30))),1)</f>
        <v>-1.3282656018195446E-3</v>
      </c>
      <c r="AS31" s="49">
        <f>INDEX(LINEST(1/(AV31:AX31),1/(SQRT(AV30:AX30)),TRUE,TRUE),3,1)</f>
        <v>0.95874698004711245</v>
      </c>
      <c r="AT31" s="49">
        <f>INDEX(LINEST(1/(AV31:AX31),1/SQRT(AV30:AX30)),1)</f>
        <v>-28.242853391482328</v>
      </c>
      <c r="AU31" s="3"/>
      <c r="AV31" s="25">
        <v>1.3382229418107645</v>
      </c>
      <c r="AW31" s="25">
        <v>0.58284150727121631</v>
      </c>
      <c r="AX31" s="25">
        <v>0.49585034734745354</v>
      </c>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1"/>
      <c r="CS31" s="1"/>
      <c r="CT31" s="1"/>
      <c r="CU31" s="1"/>
    </row>
    <row r="32" spans="1:99" s="60" customFormat="1" ht="12" customHeight="1" x14ac:dyDescent="0.2">
      <c r="A32" s="94">
        <v>43509</v>
      </c>
      <c r="B32" s="101"/>
      <c r="C32" s="101"/>
      <c r="D32" s="77"/>
      <c r="E32" s="98"/>
      <c r="F32" s="77"/>
      <c r="G32" s="77"/>
      <c r="H32" s="77"/>
      <c r="I32" s="77"/>
      <c r="J32" s="77"/>
      <c r="K32" s="102"/>
      <c r="L32" s="102"/>
      <c r="M32" s="77"/>
      <c r="N32" s="77"/>
      <c r="O32" s="77"/>
      <c r="P32" s="77"/>
      <c r="Q32" s="77"/>
      <c r="R32" s="77"/>
      <c r="S32" s="77"/>
      <c r="T32" s="96"/>
      <c r="U32" s="32"/>
      <c r="V32" s="77"/>
      <c r="W32" s="77"/>
      <c r="X32" s="77"/>
      <c r="Y32" s="98"/>
      <c r="Z32" s="77"/>
      <c r="AA32" s="77"/>
      <c r="AB32" s="77"/>
      <c r="AC32" s="77"/>
      <c r="AD32" s="77"/>
      <c r="AE32" s="77"/>
      <c r="AF32" s="99"/>
      <c r="AG32" s="100"/>
      <c r="AH32" s="84"/>
      <c r="AI32" s="100"/>
      <c r="AJ32" s="105"/>
      <c r="AK32" s="100"/>
      <c r="AL32" s="100"/>
      <c r="AM32" s="100"/>
      <c r="AN32" s="100"/>
      <c r="AO32" s="100"/>
      <c r="AP32" s="100"/>
      <c r="AQ32" s="100"/>
      <c r="AR32" s="105"/>
      <c r="AS32" s="100"/>
      <c r="AT32" s="100"/>
      <c r="AU32" s="62"/>
      <c r="AV32" s="64">
        <f>3600*0.08</f>
        <v>288</v>
      </c>
      <c r="AW32" s="64">
        <f>3600*0.15</f>
        <v>540</v>
      </c>
      <c r="AX32" s="64">
        <f>3600*0.2</f>
        <v>720</v>
      </c>
      <c r="AY32" s="64">
        <f>3600*0.37</f>
        <v>1332</v>
      </c>
      <c r="AZ32" s="64">
        <f>3600*0.43</f>
        <v>1548</v>
      </c>
      <c r="BA32" s="64">
        <f>3600*0.5</f>
        <v>1800</v>
      </c>
      <c r="BB32" s="64">
        <f>3600*0.57</f>
        <v>2052</v>
      </c>
      <c r="BC32" s="64">
        <f>3600*2</f>
        <v>7200</v>
      </c>
      <c r="BD32" s="64">
        <f>3600*3</f>
        <v>10800</v>
      </c>
      <c r="BE32" s="64">
        <f>3600*4</f>
        <v>14400</v>
      </c>
      <c r="BF32" s="64">
        <f>3600*5</f>
        <v>18000</v>
      </c>
      <c r="BG32" s="64">
        <f>3600*7</f>
        <v>25200</v>
      </c>
      <c r="BH32" s="64">
        <f>3600*10</f>
        <v>36000</v>
      </c>
      <c r="BI32" s="64">
        <f>3600*12</f>
        <v>43200</v>
      </c>
      <c r="BJ32" s="64">
        <f>3600*14</f>
        <v>50400</v>
      </c>
      <c r="BK32" s="65"/>
      <c r="BL32" s="61"/>
      <c r="BM32" s="61"/>
      <c r="BN32" s="61"/>
      <c r="BO32" s="61"/>
      <c r="BP32" s="61"/>
      <c r="BQ32" s="61"/>
      <c r="BR32" s="61"/>
      <c r="BS32" s="61"/>
      <c r="BT32" s="61"/>
      <c r="BU32" s="61"/>
      <c r="BV32" s="61"/>
      <c r="BW32" s="61"/>
      <c r="BX32" s="61"/>
      <c r="BY32" s="61"/>
      <c r="BZ32" s="61"/>
      <c r="CA32" s="61"/>
      <c r="CB32" s="61"/>
      <c r="CC32" s="61"/>
      <c r="CD32" s="61"/>
      <c r="CE32" s="61"/>
      <c r="CF32" s="61"/>
      <c r="CG32" s="61"/>
      <c r="CH32" s="61"/>
      <c r="CI32" s="61"/>
      <c r="CJ32" s="61"/>
      <c r="CK32" s="61"/>
      <c r="CL32" s="61"/>
      <c r="CM32" s="61"/>
      <c r="CN32" s="61"/>
      <c r="CO32" s="61"/>
      <c r="CP32" s="61"/>
      <c r="CQ32" s="61"/>
      <c r="CR32" s="59"/>
      <c r="CS32" s="59"/>
      <c r="CT32" s="59"/>
      <c r="CU32" s="59"/>
    </row>
    <row r="33" spans="1:99" s="60" customFormat="1" ht="12" customHeight="1" x14ac:dyDescent="0.2">
      <c r="A33" s="94">
        <v>43509</v>
      </c>
      <c r="B33" s="101" t="s">
        <v>203</v>
      </c>
      <c r="C33" s="101" t="s">
        <v>204</v>
      </c>
      <c r="D33" s="77">
        <v>1972</v>
      </c>
      <c r="E33" s="98">
        <v>1</v>
      </c>
      <c r="F33" s="77">
        <v>6</v>
      </c>
      <c r="G33" s="77">
        <v>6</v>
      </c>
      <c r="H33" s="77" t="s">
        <v>150</v>
      </c>
      <c r="I33" s="77" t="s">
        <v>209</v>
      </c>
      <c r="J33" s="77" t="s">
        <v>84</v>
      </c>
      <c r="K33" s="77" t="str">
        <f>IF(J33="syllables","1",IF(J33="trigrams","2",IF(J33="strings","3",IF(J33="visual array","4",IF(J33="characters","5",IF(J33="letters","6",IF(J33="free forms","7",IF(J33="odors","8",IF(J33="words","9",IF(J33="pictures","10",IF(J33="object pictures","11",IF(J33="faces","12",IF(J33="names","13",IF(J33="idioms","14",IF(J33="grades","15",IF(J33="syllable-digit pairs","16",IF(J33="trigram-word pairs","17",IF(J33="word-digit pairs","18",IF(J33="English-Swahili pairs","19",IF(J33="spatial position","20",IF(J33="word pairs","21",IF(J33="word triads","22",IF(J33="generated words","23",IF(J33="word definition pairs","24",IF(J33="math problems","25",IF(J33="famous faces","26",IF(J33="famous names","27",IF(J33="famous voices","28",IF(J33="television programs","29",IF(J33="race horses","30",IF(J33="new vocabulary","31",IF(J33="sentences","32",IF(J33="concepts","33",IF(J33="ad slides","34",IF(J33="scenes","35",IF(J33="famous scenes","36",IF(J33="poems","37",IF(J33="walk","38",IF(J33="faces and events","39",IF(J33="events and names","40",IF(J33="flashbulb","41",IF(J33="stories","42",IF(J33="course material","43",IF(J33="autobiographical","44",IF(J33="novels","45",IF(J33="public events","46",IF(J33="order","90","99")))))))))))))))))))))))))))))))))))))))))))))))</f>
        <v>21</v>
      </c>
      <c r="L33" s="77" t="str">
        <f>IF(J33="syllables","1",IF(J33="trigrams","1",IF(J33="strings","1",IF(J33="visual array","1",IF(J33="characters","1",IF(J33="letters","1",IF(J33="free forms","1",IF(J33="odors","2",IF(J33="words","2",IF(J33="pictures","2",IF(J33="object pictures","2",IF(J33="faces","2",IF(J33="names","2",IF(J33="idioms","2",IF(J33="grades","2",IF(J33="syllable-digit pairs","3",IF(J33="trigram-word pairs","3",IF(J33="word-digit pairs","3",IF(J33="English-Swahili pairs","3",IF(J33="spatial position","3",IF(J33="word pairs","4",IF(J33="word triads","4",IF(J33="generated words","4",IF(J33="word definition pairs","4",IF(J33="math problems","4",IF(J33="famous faces","4",IF(J33="famous names","4",IF(J33="famous voices","4",IF(J33="television programs","4",IF(J33="race horses","4",IF(J33="new vocabulary","4",IF(J33="sentences","5",IF(J33="concepts","5",IF(J33="ad slides","5",IF(J33="scenes","5",IF(J33="famous scenes","5",IF(J33="poems","6",IF(J33="walk","6",IF(J33="faces and events","6",IF(J33="events and names","6",IF(J33="flashbulb","7",IF(J33="stories","7",IF(J33="course material","7",IF(J33="autobiographical","7",IF(J33="novels","7",IF(J33="public events","7",IF(J33="order","90","99")))))))))))))))))))))))))))))))))))))))))))))))</f>
        <v>4</v>
      </c>
      <c r="M33" s="77" t="s">
        <v>195</v>
      </c>
      <c r="N33" s="77">
        <v>1</v>
      </c>
      <c r="O33" s="77" t="s">
        <v>195</v>
      </c>
      <c r="P33" s="77"/>
      <c r="Q33" s="77" t="s">
        <v>18</v>
      </c>
      <c r="R33" s="77" t="str">
        <f>IF(Q33="Free Recall","1",IF(Q33="Cued Recall","2",IF(Q33="Recognition","3",IF(Q33="Multiple Choice","4",IF(Q33="Savings","5",IF(Q33="Stem Completion","6",IF(Q33="Fragment Completion","7",IF(Q33="anagram solution","8",IF(Q33="Matching","9",IF(Q33="Problem Solving","10","99"))))))))))</f>
        <v>3</v>
      </c>
      <c r="S33" s="77" t="s">
        <v>196</v>
      </c>
      <c r="T33" s="96" t="s">
        <v>132</v>
      </c>
      <c r="U33" s="32">
        <f>IF(T33="within",1,0)</f>
        <v>1</v>
      </c>
      <c r="V33" s="96">
        <v>400</v>
      </c>
      <c r="W33" s="77">
        <f>F33*V33</f>
        <v>2400</v>
      </c>
      <c r="X33" s="77">
        <v>15</v>
      </c>
      <c r="Y33" s="98">
        <f>AV32</f>
        <v>288</v>
      </c>
      <c r="Z33" s="77" t="s">
        <v>224</v>
      </c>
      <c r="AA33" s="77">
        <v>50400</v>
      </c>
      <c r="AB33" s="77" t="str">
        <f>IF(AA33&lt;60,"1",IF(AA33&lt;=43200,"2",IF(AA33&lt;=777600,"3","4")))</f>
        <v>3</v>
      </c>
      <c r="AC33" s="100">
        <f>AVERAGE(AV32:DA32)</f>
        <v>14232</v>
      </c>
      <c r="AD33" s="77" t="str">
        <f>IF(AC33&lt;60,"1",IF(AC33&lt;=43200,"2",IF(AC33&lt;=777600,"3","4")))</f>
        <v>2</v>
      </c>
      <c r="AE33" s="98">
        <f>AA33-Y33</f>
        <v>50112</v>
      </c>
      <c r="AF33" s="99">
        <f>AV33</f>
        <v>2.69</v>
      </c>
      <c r="AG33" s="100">
        <f>((AW33-AV33)+(AX33-AW33)+(AY33-AX33)+(AZ33-AY33)+(BA33-AZ33)+(BB33-BA33)+(BC33-BB33)+(BD33-BC33)+(BE33-BD33)+(BF33-BE33)+(BG33-BF33)+(BH33-BG33)+(BI33-BH33)+(BJ33-BI33))/14</f>
        <v>-0.14357142857142854</v>
      </c>
      <c r="AH33" s="84"/>
      <c r="AI33" s="100">
        <f>RSQ(AV33:BJ33,AV32:BJ32)</f>
        <v>0.74696825554870194</v>
      </c>
      <c r="AJ33" s="105">
        <f>SLOPE(AV33:BJ33,AV32:BJ32)</f>
        <v>-3.1294671546468128E-5</v>
      </c>
      <c r="AK33" s="100">
        <f>INTERCEPT(AV33:BJ33,AV32:BJ32)</f>
        <v>2.1340524321160008</v>
      </c>
      <c r="AL33" s="100">
        <f>INDEX(LINEST(LN(AV33:BJ33),LN(AV32:BJ32),TRUE,TRUE),3,1)</f>
        <v>0.84674711949587789</v>
      </c>
      <c r="AM33" s="100">
        <f>INDEX(LINEST(LN(AV33:BJ33),LN(AV32:BJ32)),1)</f>
        <v>-0.21069510442248982</v>
      </c>
      <c r="AN33" s="100">
        <f>EXP(INDEX(LINEST(LN(AV33:BJ33),LN(AV32:BJ32)),1,2))</f>
        <v>9.5047984266267669</v>
      </c>
      <c r="AO33" s="104">
        <f>INDEX(LINEST((AV33:BJ33),LN(AV32:BJ32),TRUE,TRUE),3,1)</f>
        <v>0.8876280539858179</v>
      </c>
      <c r="AP33" s="104">
        <f>INDEX(LINEST((AV33:BJ33),LN(AV32:BJ32)),1)</f>
        <v>-0.33418211703619499</v>
      </c>
      <c r="AQ33" s="48">
        <f>INDEX(LINEST(LN(AV33:BJ33),SQRT(AV32:BJ32),TRUE,TRUE),3,1)</f>
        <v>0.89688189972724675</v>
      </c>
      <c r="AR33" s="56">
        <f>INDEX(LINEST(LN(AV33:BJ33),SQRT((AV32:BJ32))),1)</f>
        <v>-5.2081684734582153E-3</v>
      </c>
      <c r="AS33" s="49">
        <f>INDEX(LINEST(1/(AV33:BJ33),1/(SQRT(AV32:BJ32)),TRUE,TRUE),3,1)</f>
        <v>0.52526740661356974</v>
      </c>
      <c r="AT33" s="49">
        <f>INDEX(LINEST(1/(AV33:BJ33),1/SQRT(AV32:BJ32)),1)</f>
        <v>-13.171961489125843</v>
      </c>
      <c r="AU33" s="63"/>
      <c r="AV33" s="65">
        <v>2.69</v>
      </c>
      <c r="AW33" s="65">
        <v>2.67</v>
      </c>
      <c r="AX33" s="65">
        <v>2.36</v>
      </c>
      <c r="AY33" s="65">
        <v>1.69</v>
      </c>
      <c r="AZ33" s="65">
        <v>2.23</v>
      </c>
      <c r="BA33" s="65">
        <v>1.79</v>
      </c>
      <c r="BB33" s="65">
        <v>1.84</v>
      </c>
      <c r="BC33" s="65">
        <v>1.91</v>
      </c>
      <c r="BD33" s="65">
        <v>1.52</v>
      </c>
      <c r="BE33" s="65">
        <v>1.48</v>
      </c>
      <c r="BF33" s="65">
        <v>1.18</v>
      </c>
      <c r="BG33" s="65">
        <v>1.31</v>
      </c>
      <c r="BH33" s="65">
        <v>1</v>
      </c>
      <c r="BI33" s="65">
        <v>0.98</v>
      </c>
      <c r="BJ33" s="65">
        <v>0.68</v>
      </c>
      <c r="BK33" s="65"/>
      <c r="BL33" s="61"/>
      <c r="BM33" s="61"/>
      <c r="BN33" s="61"/>
      <c r="BO33" s="61"/>
      <c r="BP33" s="61"/>
      <c r="BQ33" s="61"/>
      <c r="BR33" s="61"/>
      <c r="BS33" s="61"/>
      <c r="BT33" s="61"/>
      <c r="BU33" s="61"/>
      <c r="BV33" s="61"/>
      <c r="BW33" s="61"/>
      <c r="BX33" s="61"/>
      <c r="BY33" s="61"/>
      <c r="BZ33" s="61"/>
      <c r="CA33" s="61"/>
      <c r="CB33" s="61"/>
      <c r="CC33" s="61"/>
      <c r="CD33" s="61"/>
      <c r="CE33" s="61"/>
      <c r="CF33" s="61"/>
      <c r="CG33" s="61"/>
      <c r="CH33" s="61"/>
      <c r="CI33" s="61"/>
      <c r="CJ33" s="61"/>
      <c r="CK33" s="61"/>
      <c r="CL33" s="61"/>
      <c r="CM33" s="61"/>
      <c r="CN33" s="61"/>
      <c r="CO33" s="61"/>
      <c r="CP33" s="61"/>
      <c r="CQ33" s="61"/>
      <c r="CR33" s="59"/>
      <c r="CS33" s="59"/>
      <c r="CT33" s="59"/>
      <c r="CU33" s="59"/>
    </row>
    <row r="34" spans="1:99" s="60" customFormat="1" ht="12" customHeight="1" x14ac:dyDescent="0.2">
      <c r="A34" s="94">
        <v>43509</v>
      </c>
      <c r="B34" s="101"/>
      <c r="C34" s="101"/>
      <c r="D34" s="77"/>
      <c r="E34" s="98"/>
      <c r="F34" s="77"/>
      <c r="G34" s="77"/>
      <c r="H34" s="77"/>
      <c r="I34" s="77"/>
      <c r="J34" s="77"/>
      <c r="K34" s="102"/>
      <c r="L34" s="102"/>
      <c r="M34" s="77"/>
      <c r="N34" s="77"/>
      <c r="O34" s="77"/>
      <c r="P34" s="77"/>
      <c r="Q34" s="77"/>
      <c r="R34" s="77"/>
      <c r="S34" s="77"/>
      <c r="T34" s="96"/>
      <c r="U34" s="32"/>
      <c r="V34" s="77"/>
      <c r="W34" s="77"/>
      <c r="X34" s="77"/>
      <c r="Y34" s="98"/>
      <c r="Z34" s="77"/>
      <c r="AA34" s="77"/>
      <c r="AB34" s="77"/>
      <c r="AC34" s="77"/>
      <c r="AD34" s="77"/>
      <c r="AE34" s="77"/>
      <c r="AF34" s="99"/>
      <c r="AG34" s="100"/>
      <c r="AH34" s="84"/>
      <c r="AI34" s="100"/>
      <c r="AJ34" s="105"/>
      <c r="AK34" s="100"/>
      <c r="AL34" s="100"/>
      <c r="AM34" s="100"/>
      <c r="AN34" s="100"/>
      <c r="AO34" s="100"/>
      <c r="AP34" s="100"/>
      <c r="AQ34" s="100"/>
      <c r="AR34" s="105"/>
      <c r="AS34" s="100"/>
      <c r="AT34" s="100"/>
      <c r="AU34" s="62"/>
      <c r="AV34" s="64">
        <f>3600*0.08</f>
        <v>288</v>
      </c>
      <c r="AW34" s="64">
        <f>3600*0.15</f>
        <v>540</v>
      </c>
      <c r="AX34" s="64">
        <f>3600*0.2</f>
        <v>720</v>
      </c>
      <c r="AY34" s="64">
        <f>3600*0.37</f>
        <v>1332</v>
      </c>
      <c r="AZ34" s="64">
        <f>3600*0.43</f>
        <v>1548</v>
      </c>
      <c r="BA34" s="64">
        <f>3600*0.5</f>
        <v>1800</v>
      </c>
      <c r="BB34" s="64">
        <f>3600*0.57</f>
        <v>2052</v>
      </c>
      <c r="BC34" s="64">
        <f>3600*2</f>
        <v>7200</v>
      </c>
      <c r="BD34" s="64">
        <f>3600*3</f>
        <v>10800</v>
      </c>
      <c r="BE34" s="64">
        <f>3600*4</f>
        <v>14400</v>
      </c>
      <c r="BF34" s="64">
        <f>3600*5</f>
        <v>18000</v>
      </c>
      <c r="BG34" s="64">
        <f>3600*7</f>
        <v>25200</v>
      </c>
      <c r="BH34" s="64">
        <f>3600*10</f>
        <v>36000</v>
      </c>
      <c r="BI34" s="64">
        <f>3600*12</f>
        <v>43200</v>
      </c>
      <c r="BJ34" s="64">
        <f>3600*14</f>
        <v>50400</v>
      </c>
      <c r="BK34" s="65"/>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59"/>
      <c r="CS34" s="59"/>
      <c r="CT34" s="59"/>
      <c r="CU34" s="59"/>
    </row>
    <row r="35" spans="1:99" s="60" customFormat="1" ht="12" customHeight="1" x14ac:dyDescent="0.2">
      <c r="A35" s="94">
        <v>43509</v>
      </c>
      <c r="B35" s="101" t="s">
        <v>203</v>
      </c>
      <c r="C35" s="101" t="s">
        <v>204</v>
      </c>
      <c r="D35" s="77">
        <v>1972</v>
      </c>
      <c r="E35" s="98">
        <v>1</v>
      </c>
      <c r="F35" s="77">
        <v>6</v>
      </c>
      <c r="G35" s="77">
        <v>6</v>
      </c>
      <c r="H35" s="77" t="s">
        <v>150</v>
      </c>
      <c r="I35" s="77" t="s">
        <v>210</v>
      </c>
      <c r="J35" s="77" t="s">
        <v>84</v>
      </c>
      <c r="K35" s="77" t="str">
        <f>IF(J35="syllables","1",IF(J35="trigrams","2",IF(J35="strings","3",IF(J35="visual array","4",IF(J35="characters","5",IF(J35="letters","6",IF(J35="free forms","7",IF(J35="odors","8",IF(J35="words","9",IF(J35="pictures","10",IF(J35="object pictures","11",IF(J35="faces","12",IF(J35="names","13",IF(J35="idioms","14",IF(J35="grades","15",IF(J35="syllable-digit pairs","16",IF(J35="trigram-word pairs","17",IF(J35="word-digit pairs","18",IF(J35="English-Swahili pairs","19",IF(J35="spatial position","20",IF(J35="word pairs","21",IF(J35="word triads","22",IF(J35="generated words","23",IF(J35="word definition pairs","24",IF(J35="math problems","25",IF(J35="famous faces","26",IF(J35="famous names","27",IF(J35="famous voices","28",IF(J35="television programs","29",IF(J35="race horses","30",IF(J35="new vocabulary","31",IF(J35="sentences","32",IF(J35="concepts","33",IF(J35="ad slides","34",IF(J35="scenes","35",IF(J35="famous scenes","36",IF(J35="poems","37",IF(J35="walk","38",IF(J35="faces and events","39",IF(J35="events and names","40",IF(J35="flashbulb","41",IF(J35="stories","42",IF(J35="course material","43",IF(J35="autobiographical","44",IF(J35="novels","45",IF(J35="public events","46",IF(J35="order","90","99")))))))))))))))))))))))))))))))))))))))))))))))</f>
        <v>21</v>
      </c>
      <c r="L35" s="77" t="str">
        <f>IF(J35="syllables","1",IF(J35="trigrams","1",IF(J35="strings","1",IF(J35="visual array","1",IF(J35="characters","1",IF(J35="letters","1",IF(J35="free forms","1",IF(J35="odors","2",IF(J35="words","2",IF(J35="pictures","2",IF(J35="object pictures","2",IF(J35="faces","2",IF(J35="names","2",IF(J35="idioms","2",IF(J35="grades","2",IF(J35="syllable-digit pairs","3",IF(J35="trigram-word pairs","3",IF(J35="word-digit pairs","3",IF(J35="English-Swahili pairs","3",IF(J35="spatial position","3",IF(J35="word pairs","4",IF(J35="word triads","4",IF(J35="generated words","4",IF(J35="word definition pairs","4",IF(J35="math problems","4",IF(J35="famous faces","4",IF(J35="famous names","4",IF(J35="famous voices","4",IF(J35="television programs","4",IF(J35="race horses","4",IF(J35="new vocabulary","4",IF(J35="sentences","5",IF(J35="concepts","5",IF(J35="ad slides","5",IF(J35="scenes","5",IF(J35="famous scenes","5",IF(J35="poems","6",IF(J35="walk","6",IF(J35="faces and events","6",IF(J35="events and names","6",IF(J35="flashbulb","7",IF(J35="stories","7",IF(J35="course material","7",IF(J35="autobiographical","7",IF(J35="novels","7",IF(J35="public events","7",IF(J35="order","90","99")))))))))))))))))))))))))))))))))))))))))))))))</f>
        <v>4</v>
      </c>
      <c r="M35" s="77" t="s">
        <v>195</v>
      </c>
      <c r="N35" s="77">
        <v>1</v>
      </c>
      <c r="O35" s="77" t="s">
        <v>195</v>
      </c>
      <c r="P35" s="77"/>
      <c r="Q35" s="77" t="s">
        <v>18</v>
      </c>
      <c r="R35" s="77" t="str">
        <f>IF(Q35="Free Recall","1",IF(Q35="Cued Recall","2",IF(Q35="Recognition","3",IF(Q35="Multiple Choice","4",IF(Q35="Savings","5",IF(Q35="Stem Completion","6",IF(Q35="Fragment Completion","7",IF(Q35="anagram solution","8",IF(Q35="Matching","9",IF(Q35="Problem Solving","10","99"))))))))))</f>
        <v>3</v>
      </c>
      <c r="S35" s="77" t="s">
        <v>196</v>
      </c>
      <c r="T35" s="96" t="s">
        <v>132</v>
      </c>
      <c r="U35" s="32">
        <f>IF(T35="within",1,0)</f>
        <v>1</v>
      </c>
      <c r="V35" s="96">
        <v>400</v>
      </c>
      <c r="W35" s="77">
        <f>F35*V35</f>
        <v>2400</v>
      </c>
      <c r="X35" s="77">
        <v>15</v>
      </c>
      <c r="Y35" s="98">
        <f>AV34</f>
        <v>288</v>
      </c>
      <c r="Z35" s="77" t="s">
        <v>224</v>
      </c>
      <c r="AA35" s="77">
        <v>50400</v>
      </c>
      <c r="AB35" s="77" t="str">
        <f>IF(AA35&lt;60,"1",IF(AA35&lt;=43200,"2",IF(AA35&lt;=777600,"3","4")))</f>
        <v>3</v>
      </c>
      <c r="AC35" s="100">
        <f>AVERAGE(AV34:DA34)</f>
        <v>14232</v>
      </c>
      <c r="AD35" s="77" t="str">
        <f>IF(AC35&lt;60,"1",IF(AC35&lt;=43200,"2",IF(AC35&lt;=777600,"3","4")))</f>
        <v>2</v>
      </c>
      <c r="AE35" s="98">
        <f>AA35-Y35</f>
        <v>50112</v>
      </c>
      <c r="AF35" s="99">
        <f>AV35</f>
        <v>1.93</v>
      </c>
      <c r="AG35" s="100">
        <f>((AW35-AV35)+(AX35-AW35)+(AY35-AX35)+(AZ35-AY35)+(BA35-AZ35)+(BB35-BA35)+(BC35-BB35)+(BD35-BC35)+(BE35-BD35)+(BF35-BE35)+(BG35-BF35)+(BH35-BG35)+(BI35-BH35)+(BJ35-BI35))/14</f>
        <v>-0.10214285714285716</v>
      </c>
      <c r="AH35" s="84"/>
      <c r="AI35" s="100">
        <f>RSQ(AV35:BJ35,AV34:BJ34)</f>
        <v>0.59018533479648949</v>
      </c>
      <c r="AJ35" s="105">
        <f>SLOPE(AV35:BJ35,AV34:BJ34)</f>
        <v>-2.2802485972533146E-5</v>
      </c>
      <c r="AK35" s="100">
        <f>INTERCEPT(AV35:BJ35,AV34:BJ34)</f>
        <v>1.4331916470277586</v>
      </c>
      <c r="AL35" s="100">
        <f>INDEX(LINEST(LN(AV35:BJ35),LN(AV34:BJ34),TRUE,TRUE),3,1)</f>
        <v>0.73215789104781648</v>
      </c>
      <c r="AM35" s="100">
        <f>INDEX(LINEST(LN(AV35:BJ35),LN(AV34:BJ34)),1)</f>
        <v>-0.24023260219154294</v>
      </c>
      <c r="AN35" s="100">
        <f>EXP(INDEX(LINEST(LN(AV35:BJ35),LN(AV34:BJ34)),1,2))</f>
        <v>7.7449504703416361</v>
      </c>
      <c r="AO35" s="104">
        <f>INDEX(LINEST((AV35:BJ35),LN(AV34:BJ34),TRUE,TRUE),3,1)</f>
        <v>0.7468171629793311</v>
      </c>
      <c r="AP35" s="104">
        <f>INDEX(LINEST((AV35:BJ35),LN(AV34:BJ34)),1)</f>
        <v>-0.2512716586094999</v>
      </c>
      <c r="AQ35" s="48">
        <f>INDEX(LINEST(LN(AV35:BJ35),SQRT(AV34:BJ34),TRUE,TRUE),3,1)</f>
        <v>0.75017518426126539</v>
      </c>
      <c r="AR35" s="56">
        <f>INDEX(LINEST(LN(AV35:BJ35),SQRT((AV34:BJ34))),1)</f>
        <v>-5.840509470141822E-3</v>
      </c>
      <c r="AS35" s="49">
        <f>INDEX(LINEST(1/(AV35:BJ35),1/(SQRT(AV34:BJ34)),TRUE,TRUE),3,1)</f>
        <v>0.48724177184458112</v>
      </c>
      <c r="AT35" s="49">
        <f>INDEX(LINEST(1/(AV35:BJ35),1/SQRT(AV34:BJ34)),1)</f>
        <v>-24.237550751996267</v>
      </c>
      <c r="AU35" s="63"/>
      <c r="AV35" s="65">
        <v>1.93</v>
      </c>
      <c r="AW35" s="65">
        <v>1.8</v>
      </c>
      <c r="AX35" s="65">
        <v>1.79</v>
      </c>
      <c r="AY35" s="65">
        <v>1.23</v>
      </c>
      <c r="AZ35" s="65">
        <v>1.65</v>
      </c>
      <c r="BA35" s="65">
        <v>0.77</v>
      </c>
      <c r="BB35" s="65">
        <v>1.1100000000000001</v>
      </c>
      <c r="BC35" s="65">
        <v>0.97</v>
      </c>
      <c r="BD35" s="65">
        <v>1.42</v>
      </c>
      <c r="BE35" s="65">
        <v>0.73</v>
      </c>
      <c r="BF35" s="65">
        <v>0.89</v>
      </c>
      <c r="BG35" s="65">
        <v>0.8</v>
      </c>
      <c r="BH35" s="65">
        <v>0.64</v>
      </c>
      <c r="BI35" s="65">
        <v>0.4</v>
      </c>
      <c r="BJ35" s="65">
        <v>0.5</v>
      </c>
      <c r="BK35" s="65"/>
      <c r="BL35" s="61"/>
      <c r="BM35" s="61"/>
      <c r="BN35" s="61"/>
      <c r="BO35" s="61"/>
      <c r="BP35" s="61"/>
      <c r="BQ35" s="61"/>
      <c r="BR35" s="61"/>
      <c r="BS35" s="61"/>
      <c r="BT35" s="61"/>
      <c r="BU35" s="61"/>
      <c r="BV35" s="61"/>
      <c r="BW35" s="61"/>
      <c r="BX35" s="61"/>
      <c r="BY35" s="61"/>
      <c r="BZ35" s="61"/>
      <c r="CA35" s="61"/>
      <c r="CB35" s="61"/>
      <c r="CC35" s="61"/>
      <c r="CD35" s="61"/>
      <c r="CE35" s="61"/>
      <c r="CF35" s="61"/>
      <c r="CG35" s="61"/>
      <c r="CH35" s="61"/>
      <c r="CI35" s="61"/>
      <c r="CJ35" s="61"/>
      <c r="CK35" s="61"/>
      <c r="CL35" s="61"/>
      <c r="CM35" s="61"/>
      <c r="CN35" s="61"/>
      <c r="CO35" s="61"/>
      <c r="CP35" s="61"/>
      <c r="CQ35" s="61"/>
      <c r="CR35" s="59"/>
      <c r="CS35" s="59"/>
      <c r="CT35" s="59"/>
      <c r="CU35" s="59"/>
    </row>
    <row r="36" spans="1:99" s="60" customFormat="1" ht="12" customHeight="1" x14ac:dyDescent="0.2">
      <c r="A36" s="94">
        <v>43509</v>
      </c>
      <c r="B36" s="101"/>
      <c r="C36" s="101"/>
      <c r="D36" s="77"/>
      <c r="E36" s="98"/>
      <c r="F36" s="77"/>
      <c r="G36" s="77"/>
      <c r="H36" s="77"/>
      <c r="I36" s="77"/>
      <c r="J36" s="77"/>
      <c r="K36" s="102"/>
      <c r="L36" s="102"/>
      <c r="M36" s="77"/>
      <c r="N36" s="77"/>
      <c r="O36" s="77"/>
      <c r="P36" s="77"/>
      <c r="Q36" s="77"/>
      <c r="R36" s="77"/>
      <c r="S36" s="77"/>
      <c r="T36" s="96"/>
      <c r="U36" s="32"/>
      <c r="V36" s="77"/>
      <c r="W36" s="77"/>
      <c r="X36" s="77"/>
      <c r="Y36" s="98"/>
      <c r="Z36" s="77"/>
      <c r="AA36" s="77"/>
      <c r="AB36" s="77"/>
      <c r="AC36" s="77"/>
      <c r="AD36" s="77"/>
      <c r="AE36" s="77"/>
      <c r="AF36" s="99"/>
      <c r="AG36" s="100"/>
      <c r="AH36" s="84"/>
      <c r="AI36" s="100"/>
      <c r="AJ36" s="105"/>
      <c r="AK36" s="100"/>
      <c r="AL36" s="100"/>
      <c r="AM36" s="100"/>
      <c r="AN36" s="100"/>
      <c r="AO36" s="100"/>
      <c r="AP36" s="100"/>
      <c r="AQ36" s="100"/>
      <c r="AR36" s="105"/>
      <c r="AS36" s="100"/>
      <c r="AT36" s="100"/>
      <c r="AU36" s="62"/>
      <c r="AV36" s="64">
        <f>3600*0.08</f>
        <v>288</v>
      </c>
      <c r="AW36" s="64">
        <f>3600*0.15</f>
        <v>540</v>
      </c>
      <c r="AX36" s="64">
        <f>3600*0.2</f>
        <v>720</v>
      </c>
      <c r="AY36" s="64">
        <f>3600*0.37</f>
        <v>1332</v>
      </c>
      <c r="AZ36" s="64">
        <f>3600*0.43</f>
        <v>1548</v>
      </c>
      <c r="BA36" s="64">
        <f>3600*0.5</f>
        <v>1800</v>
      </c>
      <c r="BB36" s="64">
        <f>3600*0.57</f>
        <v>2052</v>
      </c>
      <c r="BC36" s="64">
        <f>3600*2</f>
        <v>7200</v>
      </c>
      <c r="BD36" s="64">
        <f>3600*3</f>
        <v>10800</v>
      </c>
      <c r="BE36" s="64">
        <f>3600*4</f>
        <v>14400</v>
      </c>
      <c r="BF36" s="64">
        <f>3600*5</f>
        <v>18000</v>
      </c>
      <c r="BG36" s="64">
        <f>3600*7</f>
        <v>25200</v>
      </c>
      <c r="BH36" s="64">
        <f>3600*10</f>
        <v>36000</v>
      </c>
      <c r="BI36" s="64">
        <f>3600*12</f>
        <v>43200</v>
      </c>
      <c r="BJ36" s="64">
        <f>3600*14</f>
        <v>50400</v>
      </c>
      <c r="BK36" s="65"/>
      <c r="BL36" s="61"/>
      <c r="BM36" s="61"/>
      <c r="BN36" s="61"/>
      <c r="BO36" s="61"/>
      <c r="BP36" s="61"/>
      <c r="BQ36" s="61"/>
      <c r="BR36" s="61"/>
      <c r="BS36" s="61"/>
      <c r="BT36" s="61"/>
      <c r="BU36" s="61"/>
      <c r="BV36" s="61"/>
      <c r="BW36" s="61"/>
      <c r="BX36" s="61"/>
      <c r="BY36" s="61"/>
      <c r="BZ36" s="61"/>
      <c r="CA36" s="61"/>
      <c r="CB36" s="61"/>
      <c r="CC36" s="61"/>
      <c r="CD36" s="61"/>
      <c r="CE36" s="61"/>
      <c r="CF36" s="61"/>
      <c r="CG36" s="61"/>
      <c r="CH36" s="61"/>
      <c r="CI36" s="61"/>
      <c r="CJ36" s="61"/>
      <c r="CK36" s="61"/>
      <c r="CL36" s="61"/>
      <c r="CM36" s="61"/>
      <c r="CN36" s="61"/>
      <c r="CO36" s="61"/>
      <c r="CP36" s="61"/>
      <c r="CQ36" s="61"/>
      <c r="CR36" s="59"/>
      <c r="CS36" s="59"/>
      <c r="CT36" s="59"/>
      <c r="CU36" s="59"/>
    </row>
    <row r="37" spans="1:99" s="60" customFormat="1" ht="12" customHeight="1" x14ac:dyDescent="0.2">
      <c r="A37" s="94">
        <v>43509</v>
      </c>
      <c r="B37" s="101" t="s">
        <v>203</v>
      </c>
      <c r="C37" s="101" t="s">
        <v>204</v>
      </c>
      <c r="D37" s="77">
        <v>1972</v>
      </c>
      <c r="E37" s="98">
        <v>1</v>
      </c>
      <c r="F37" s="77">
        <v>6</v>
      </c>
      <c r="G37" s="77">
        <v>6</v>
      </c>
      <c r="H37" s="77" t="s">
        <v>150</v>
      </c>
      <c r="I37" s="77" t="s">
        <v>211</v>
      </c>
      <c r="J37" s="77" t="s">
        <v>84</v>
      </c>
      <c r="K37" s="77" t="str">
        <f>IF(J37="syllables","1",IF(J37="trigrams","2",IF(J37="strings","3",IF(J37="visual array","4",IF(J37="characters","5",IF(J37="letters","6",IF(J37="free forms","7",IF(J37="odors","8",IF(J37="words","9",IF(J37="pictures","10",IF(J37="object pictures","11",IF(J37="faces","12",IF(J37="names","13",IF(J37="idioms","14",IF(J37="grades","15",IF(J37="syllable-digit pairs","16",IF(J37="trigram-word pairs","17",IF(J37="word-digit pairs","18",IF(J37="English-Swahili pairs","19",IF(J37="spatial position","20",IF(J37="word pairs","21",IF(J37="word triads","22",IF(J37="generated words","23",IF(J37="word definition pairs","24",IF(J37="math problems","25",IF(J37="famous faces","26",IF(J37="famous names","27",IF(J37="famous voices","28",IF(J37="television programs","29",IF(J37="race horses","30",IF(J37="new vocabulary","31",IF(J37="sentences","32",IF(J37="concepts","33",IF(J37="ad slides","34",IF(J37="scenes","35",IF(J37="famous scenes","36",IF(J37="poems","37",IF(J37="walk","38",IF(J37="faces and events","39",IF(J37="events and names","40",IF(J37="flashbulb","41",IF(J37="stories","42",IF(J37="course material","43",IF(J37="autobiographical","44",IF(J37="novels","45",IF(J37="public events","46",IF(J37="order","90","99")))))))))))))))))))))))))))))))))))))))))))))))</f>
        <v>21</v>
      </c>
      <c r="L37" s="77" t="str">
        <f>IF(J37="syllables","1",IF(J37="trigrams","1",IF(J37="strings","1",IF(J37="visual array","1",IF(J37="characters","1",IF(J37="letters","1",IF(J37="free forms","1",IF(J37="odors","2",IF(J37="words","2",IF(J37="pictures","2",IF(J37="object pictures","2",IF(J37="faces","2",IF(J37="names","2",IF(J37="idioms","2",IF(J37="grades","2",IF(J37="syllable-digit pairs","3",IF(J37="trigram-word pairs","3",IF(J37="word-digit pairs","3",IF(J37="English-Swahili pairs","3",IF(J37="spatial position","3",IF(J37="word pairs","4",IF(J37="word triads","4",IF(J37="generated words","4",IF(J37="word definition pairs","4",IF(J37="math problems","4",IF(J37="famous faces","4",IF(J37="famous names","4",IF(J37="famous voices","4",IF(J37="television programs","4",IF(J37="race horses","4",IF(J37="new vocabulary","4",IF(J37="sentences","5",IF(J37="concepts","5",IF(J37="ad slides","5",IF(J37="scenes","5",IF(J37="famous scenes","5",IF(J37="poems","6",IF(J37="walk","6",IF(J37="faces and events","6",IF(J37="events and names","6",IF(J37="flashbulb","7",IF(J37="stories","7",IF(J37="course material","7",IF(J37="autobiographical","7",IF(J37="novels","7",IF(J37="public events","7",IF(J37="order","90","99")))))))))))))))))))))))))))))))))))))))))))))))</f>
        <v>4</v>
      </c>
      <c r="M37" s="77" t="s">
        <v>195</v>
      </c>
      <c r="N37" s="77">
        <v>1</v>
      </c>
      <c r="O37" s="77" t="s">
        <v>195</v>
      </c>
      <c r="P37" s="77"/>
      <c r="Q37" s="77" t="s">
        <v>18</v>
      </c>
      <c r="R37" s="77" t="str">
        <f>IF(Q37="Free Recall","1",IF(Q37="Cued Recall","2",IF(Q37="Recognition","3",IF(Q37="Multiple Choice","4",IF(Q37="Savings","5",IF(Q37="Stem Completion","6",IF(Q37="Fragment Completion","7",IF(Q37="anagram solution","8",IF(Q37="Matching","9",IF(Q37="Problem Solving","10","99"))))))))))</f>
        <v>3</v>
      </c>
      <c r="S37" s="77" t="s">
        <v>196</v>
      </c>
      <c r="T37" s="96" t="s">
        <v>132</v>
      </c>
      <c r="U37" s="32">
        <f>IF(T37="within",1,0)</f>
        <v>1</v>
      </c>
      <c r="V37" s="96">
        <v>400</v>
      </c>
      <c r="W37" s="77">
        <f>F37*V37</f>
        <v>2400</v>
      </c>
      <c r="X37" s="77">
        <v>15</v>
      </c>
      <c r="Y37" s="98">
        <f>AV36</f>
        <v>288</v>
      </c>
      <c r="Z37" s="77" t="s">
        <v>224</v>
      </c>
      <c r="AA37" s="77">
        <v>50400</v>
      </c>
      <c r="AB37" s="77" t="str">
        <f>IF(AA37&lt;60,"1",IF(AA37&lt;=43200,"2",IF(AA37&lt;=777600,"3","4")))</f>
        <v>3</v>
      </c>
      <c r="AC37" s="100">
        <f>AVERAGE(AV36:DA36)</f>
        <v>14232</v>
      </c>
      <c r="AD37" s="77" t="str">
        <f>IF(AC37&lt;60,"1",IF(AC37&lt;=43200,"2",IF(AC37&lt;=777600,"3","4")))</f>
        <v>2</v>
      </c>
      <c r="AE37" s="98">
        <f>AA37-Y37</f>
        <v>50112</v>
      </c>
      <c r="AF37" s="99">
        <f>AV37</f>
        <v>1.36</v>
      </c>
      <c r="AG37" s="100">
        <f>((AW37-AV37)+(AX37-AW37)+(AY37-AX37)+(AZ37-AY37)+(BA37-AZ37)+(BB37-BA37)+(BC37-BB37)+(BD37-BC37)+(BE37-BD37)+(BF37-BE37)+(BG37-BF37)+(BH37-BG37)+(BI37-BH37)+(BJ37-BI37))/14</f>
        <v>-7.1428571428571438E-2</v>
      </c>
      <c r="AH37" s="84"/>
      <c r="AI37" s="100">
        <f>RSQ(AV37:BJ37,AV36:BJ36)</f>
        <v>0.54979914847551292</v>
      </c>
      <c r="AJ37" s="105">
        <f>SLOPE(AV37:BJ37,AV36:BJ36)</f>
        <v>-1.7450754836211295E-5</v>
      </c>
      <c r="AK37" s="100">
        <f>INTERCEPT(AV37:BJ37,AV36:BJ36)</f>
        <v>1.0623591428289594</v>
      </c>
      <c r="AL37" s="100">
        <f>INDEX(LINEST(LN(AV37:BJ37),LN(AV36:BJ36),TRUE,TRUE),3,1)</f>
        <v>0.8558547980673793</v>
      </c>
      <c r="AM37" s="100">
        <f>INDEX(LINEST(LN(AV37:BJ37),LN(AV36:BJ36)),1)</f>
        <v>-0.25798424290738398</v>
      </c>
      <c r="AN37" s="100">
        <f>EXP(INDEX(LINEST(LN(AV37:BJ37),LN(AV36:BJ36)),1,2))</f>
        <v>6.5867504163979778</v>
      </c>
      <c r="AO37" s="104">
        <f>INDEX(LINEST((AV37:BJ37),LN(AV36:BJ36),TRUE,TRUE),3,1)</f>
        <v>0.80781743045291543</v>
      </c>
      <c r="AP37" s="104">
        <f>INDEX(LINEST((AV37:BJ37),LN(AV36:BJ36)),1)</f>
        <v>-0.20721308030091035</v>
      </c>
      <c r="AQ37" s="48">
        <f>INDEX(LINEST(LN(AV37:BJ37),SQRT(AV36:BJ36),TRUE,TRUE),3,1)</f>
        <v>0.81339099185403663</v>
      </c>
      <c r="AR37" s="56">
        <f>INDEX(LINEST(LN(AV37:BJ37),SQRT((AV36:BJ36))),1)</f>
        <v>-6.0406354799739147E-3</v>
      </c>
      <c r="AS37" s="49">
        <f>INDEX(LINEST(1/(AV37:BJ37),1/(SQRT(AV36:BJ36)),TRUE,TRUE),3,1)</f>
        <v>0.63636280285257862</v>
      </c>
      <c r="AT37" s="49">
        <f>INDEX(LINEST(1/(AV37:BJ37),1/SQRT(AV36:BJ36)),1)</f>
        <v>-34.35961153144298</v>
      </c>
      <c r="AU37" s="63"/>
      <c r="AV37" s="65">
        <v>1.36</v>
      </c>
      <c r="AW37" s="65">
        <v>1.68</v>
      </c>
      <c r="AX37" s="65">
        <v>1.33</v>
      </c>
      <c r="AY37" s="65">
        <v>1.1299999999999999</v>
      </c>
      <c r="AZ37" s="65">
        <v>0.87</v>
      </c>
      <c r="BA37" s="65">
        <v>0.81</v>
      </c>
      <c r="BB37" s="65">
        <v>0.65</v>
      </c>
      <c r="BC37" s="65">
        <v>0.79</v>
      </c>
      <c r="BD37" s="65">
        <v>0.8</v>
      </c>
      <c r="BE37" s="65">
        <v>0.59</v>
      </c>
      <c r="BF37" s="65">
        <v>0.49</v>
      </c>
      <c r="BG37" s="65">
        <v>0.54</v>
      </c>
      <c r="BH37" s="65">
        <v>0.35</v>
      </c>
      <c r="BI37" s="65">
        <v>0.46</v>
      </c>
      <c r="BJ37" s="65">
        <v>0.36</v>
      </c>
      <c r="BK37" s="65"/>
      <c r="BL37" s="61"/>
      <c r="BM37" s="61"/>
      <c r="BN37" s="61"/>
      <c r="BO37" s="61"/>
      <c r="BP37" s="61"/>
      <c r="BQ37" s="61"/>
      <c r="BR37" s="61"/>
      <c r="BS37" s="61"/>
      <c r="BT37" s="61"/>
      <c r="BU37" s="61"/>
      <c r="BV37" s="61"/>
      <c r="BW37" s="61"/>
      <c r="BX37" s="61"/>
      <c r="BY37" s="61"/>
      <c r="BZ37" s="61"/>
      <c r="CA37" s="61"/>
      <c r="CB37" s="61"/>
      <c r="CC37" s="61"/>
      <c r="CD37" s="61"/>
      <c r="CE37" s="61"/>
      <c r="CF37" s="61"/>
      <c r="CG37" s="61"/>
      <c r="CH37" s="61"/>
      <c r="CI37" s="61"/>
      <c r="CJ37" s="61"/>
      <c r="CK37" s="61"/>
      <c r="CL37" s="61"/>
      <c r="CM37" s="61"/>
      <c r="CN37" s="61"/>
      <c r="CO37" s="61"/>
      <c r="CP37" s="61"/>
      <c r="CQ37" s="61"/>
      <c r="CR37" s="59"/>
      <c r="CS37" s="59"/>
      <c r="CT37" s="59"/>
      <c r="CU37" s="59"/>
    </row>
    <row r="38" spans="1:99" ht="12" customHeight="1" x14ac:dyDescent="0.2">
      <c r="A38" s="37">
        <v>43509</v>
      </c>
      <c r="B38" s="11"/>
      <c r="C38" s="11"/>
      <c r="D38" s="31"/>
      <c r="F38" s="31"/>
      <c r="G38" s="31"/>
      <c r="J38" s="31"/>
      <c r="M38" s="31"/>
      <c r="N38" s="31"/>
      <c r="O38" s="31"/>
      <c r="P38" s="31"/>
      <c r="Q38" s="31"/>
      <c r="R38" s="32"/>
      <c r="S38" s="31"/>
      <c r="T38" s="31"/>
      <c r="U38" s="32"/>
      <c r="V38" s="31"/>
      <c r="W38" s="32"/>
      <c r="Y38" s="41"/>
      <c r="AB38" s="32"/>
      <c r="AC38" s="32"/>
      <c r="AD38" s="32"/>
      <c r="AE38" s="32"/>
      <c r="AF38" s="45"/>
      <c r="AG38" s="28"/>
      <c r="AI38" s="27"/>
      <c r="AJ38" s="52"/>
      <c r="AK38" s="27"/>
      <c r="AL38" s="27"/>
      <c r="AM38" s="27"/>
      <c r="AN38" s="27"/>
      <c r="AO38" s="27"/>
      <c r="AP38" s="27"/>
      <c r="AQ38" s="28"/>
      <c r="AR38" s="51"/>
      <c r="AS38" s="28"/>
      <c r="AT38" s="28"/>
      <c r="AU38" s="4"/>
      <c r="AV38" s="24">
        <v>300</v>
      </c>
      <c r="AW38" s="24">
        <v>1200</v>
      </c>
      <c r="AX38" s="24">
        <v>3600</v>
      </c>
      <c r="AY38" s="24">
        <v>86400</v>
      </c>
      <c r="AZ38" s="24">
        <v>172800</v>
      </c>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11"/>
      <c r="CS38" s="11"/>
      <c r="CT38" s="11"/>
      <c r="CU38" s="11"/>
    </row>
    <row r="39" spans="1:99" ht="12" customHeight="1" x14ac:dyDescent="0.2">
      <c r="A39" s="37">
        <v>43509</v>
      </c>
      <c r="B39" s="11" t="s">
        <v>161</v>
      </c>
      <c r="C39" s="11" t="s">
        <v>39</v>
      </c>
      <c r="D39" s="31">
        <v>1926</v>
      </c>
      <c r="E39" s="42">
        <v>1</v>
      </c>
      <c r="F39" s="31">
        <v>5</v>
      </c>
      <c r="G39" s="31">
        <v>5</v>
      </c>
      <c r="H39" s="31" t="s">
        <v>22</v>
      </c>
      <c r="I39" s="36" t="s">
        <v>158</v>
      </c>
      <c r="J39" s="31" t="s">
        <v>148</v>
      </c>
      <c r="K39" s="32">
        <f>IF(J39="syllables",1,IF(J39="trigrams",2,IF(J39="strings",3,IF(J39="visual array",4,IF(J39="characters",5,IF(J39="letters",6,IF(J39="free forms",7,IF(J39="odors",8,IF(J39="words",9,IF(J39="pictures",10,IF(J39="object pictures",11,IF(J39="faces",12,IF(J39="names",13,IF(J39="idioms",14,IF(J39="grades",15,IF(J39="syllable-digit pairs",16,IF(J39="trigram-word pairs",17,IF(J39="word-digit pairs",18,IF(J39="English-Swahili pairs",19,IF(J39="spatial position",20,IF(J39="word pairs",21,IF(J39="word triads",22,IF(J39="generated words",23,IF(J39="word definition pairs",24,IF(J39="math problems",25,IF(J39="famous faces",26,IF(J39="famous names",27,IF(J39="famous voices",28,IF(J39="television programs",29,IF(J39="race horses",30,IF(J39="new vocabulary",31,IF(J39="sentences",32,IF(J39="concepts",33,IF(J39="ad slides",34,IF(J39="scenes",35,IF(J39="famous scenes",36,IF(J39="poems",37,IF(J39="walk",38,IF(J39="faces and events",39,IF(J39="events and names",40,IF(J39="flashbulb",41,IF(J39="stories",42,IF(J39="course material",43,IF(J39="autobiographical",44,IF(J39="novels",45,IF(J39="public events",46,"99"))))))))))))))))))))))))))))))))))))))))))))))</f>
        <v>5</v>
      </c>
      <c r="L39" s="32">
        <f>IF(J39="syllables",1,IF(J39="trigrams",1,IF(J39="strings",1,IF(J39="visual array",1,IF(J39="characters",1,IF(J39="letters",1,IF(J39="free forms",1,IF(J39="odors",2,IF(J39="words",2,IF(J39="pictures",2,IF(J39="object pictures",2,IF(J39="faces",2,IF(J39="names",2,IF(J39="idioms","2",IF(J39="grades",2,IF(J39="syllable-digit pairs",3,IF(J39="trigram-word pairs",3,IF(J39="word-digit pairs",3,IF(J39="English-Swahili pairs",3,IF(J39="spatial position",3,IF(J39="word pairs",4,IF(J39="word triads",4,IF(J39="generated words",4,IF(J39="word definition pairs",4,IF(J39="math problems",4,IF(J39="famous faces",4,IF(J39="famous names",4,IF(J39="famous voices",4,IF(J39="television programs",4,IF(J39="race horses",4,IF(J39="new vocabulary",4,IF(J39="sentences",5,IF(J39="concepts",5,IF(J39="ad slides",5,IF(J39="scenes",5,IF(J39="famous scenes",5,IF(J39="poems",6,IF(J39="walk",6,IF(J39="faces and events",6,IF(J39="events and names",6,IF(J39="flashbulb",7,IF(J39="stories",7,IF(J39="course material",7,IF(J39="autobiographical",7,IF(J39="novels",7,IF(J39="public events",7,"99"))))))))))))))))))))))))))))))))))))))))))))))</f>
        <v>1</v>
      </c>
      <c r="M39" s="36">
        <v>0</v>
      </c>
      <c r="N39" s="31">
        <v>1</v>
      </c>
      <c r="O39" s="31">
        <v>0</v>
      </c>
      <c r="P39" s="31"/>
      <c r="Q39" s="31" t="s">
        <v>18</v>
      </c>
      <c r="R39" s="32">
        <f>IF(Q39="Free Recall",1,IF(Q39="Cued Recall",2,IF(Q39="Recognition",3,IF(Q39="Multiple Choice",4,IF(Q39="Savings",5,IF(Q39="Stem Completion",6,IF(Q39="Fragment Completion",7,IF(Q39="anagram solution",8,IF(Q39="Matching",9,IF(Q39="Problem Solving",10,"99"))))))))))</f>
        <v>3</v>
      </c>
      <c r="S39" s="31" t="s">
        <v>196</v>
      </c>
      <c r="T39" s="31" t="s">
        <v>132</v>
      </c>
      <c r="U39" s="32">
        <f>IF(T39="within",1,0)</f>
        <v>1</v>
      </c>
      <c r="V39" s="31">
        <v>65</v>
      </c>
      <c r="W39" s="32">
        <f>F39*V39</f>
        <v>325</v>
      </c>
      <c r="X39" s="32">
        <v>5</v>
      </c>
      <c r="Y39" s="41">
        <f>AV38</f>
        <v>300</v>
      </c>
      <c r="Z39" s="36" t="s">
        <v>40</v>
      </c>
      <c r="AA39" s="31">
        <f>2*24*3600</f>
        <v>172800</v>
      </c>
      <c r="AB39" s="32" t="str">
        <f>IF(AA39&lt;60,"1",IF(AA39&lt;=43200,"2",IF(AA39&lt;=777600,"3","4")))</f>
        <v>3</v>
      </c>
      <c r="AC39" s="28">
        <f>AVERAGE(AV38:DA38)</f>
        <v>52860</v>
      </c>
      <c r="AD39" s="32" t="str">
        <f>IF(AC39&lt;60,"1",IF(AC39&lt;=43200,"2",IF(AC39&lt;=777600,"3","4")))</f>
        <v>3</v>
      </c>
      <c r="AE39" s="41">
        <f>AA39-Y39</f>
        <v>172500</v>
      </c>
      <c r="AF39" s="45">
        <f>AV39</f>
        <v>1.1072420199792572</v>
      </c>
      <c r="AG39" s="28">
        <f>((AW39-AV39)+(AX39-AW39)+(AY39-AX39)+(AZ39-AY39))/4</f>
        <v>-9.6549029432237254E-2</v>
      </c>
      <c r="AI39" s="28">
        <f>RSQ(AV39:AZ39,AV38:AZ38)</f>
        <v>0.45921198102195088</v>
      </c>
      <c r="AJ39" s="51">
        <f>SLOPE(AV39:AZ39,AV38:AZ38)</f>
        <v>-2.7270020639698513E-6</v>
      </c>
      <c r="AK39" s="28">
        <f>INTERCEPT(AV39:AZ39,AV38:AZ38)</f>
        <v>1.0799799997054491</v>
      </c>
      <c r="AL39" s="28">
        <f>INDEX(LINEST(LN(AV39:AZ39),LN(AV38:AZ38),TRUE,TRUE),3,1)</f>
        <v>0.72270816733737542</v>
      </c>
      <c r="AM39" s="28">
        <f>INDEX(LINEST(LN(AV39:AZ39),LN(AV38:AZ38)),1)</f>
        <v>-9.9558797664040813E-2</v>
      </c>
      <c r="AN39" s="28">
        <f>EXP(INDEX(LINEST(LN(AV39:AZ39),LN(AV38:AZ38)),1,2))</f>
        <v>2.1729363686464458</v>
      </c>
      <c r="AO39" s="47">
        <f>INDEX(LINEST((AV39:AZ39),LN(AV38:AZ38),TRUE,TRUE),3,1)</f>
        <v>0.65725900427061923</v>
      </c>
      <c r="AP39" s="47">
        <f>INDEX(LINEST((AV39:AZ39),LN(AV38:AZ38)),1)</f>
        <v>-9.0954903397580528E-2</v>
      </c>
      <c r="AQ39" s="48">
        <f>INDEX(LINEST(LN(AV39:AZ39),SQRT(AV38:AZ38),TRUE,TRUE),3,1)</f>
        <v>0.62432419879775292</v>
      </c>
      <c r="AR39" s="56">
        <f>INDEX(LINEST(LN(AV39:AZ39),SQRT((AV38:AZ38))),1)</f>
        <v>-1.4110558044231815E-3</v>
      </c>
      <c r="AS39" s="49">
        <f>INDEX(LINEST(1/(AV39:AZ39),1/(SQRT(AV38:AZ38)),TRUE,TRUE),3,1)</f>
        <v>0.59481842615672431</v>
      </c>
      <c r="AT39" s="49">
        <f>INDEX(LINEST(1/(AV39:AZ39),1/SQRT(AV38:AZ38)),1)</f>
        <v>-11.973327363694416</v>
      </c>
      <c r="AU39" s="3"/>
      <c r="AV39" s="7">
        <v>1.1072420199792572</v>
      </c>
      <c r="AW39" s="7">
        <v>1.3807923130361692</v>
      </c>
      <c r="AX39" s="7">
        <v>0.8452388845347677</v>
      </c>
      <c r="AY39" s="7">
        <v>0.6248342332195107</v>
      </c>
      <c r="AZ39" s="7">
        <v>0.72104590225030818</v>
      </c>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11"/>
      <c r="CS39" s="11"/>
      <c r="CT39" s="11"/>
      <c r="CU39" s="11"/>
    </row>
    <row r="40" spans="1:99" ht="12" customHeight="1" x14ac:dyDescent="0.2">
      <c r="A40" s="37">
        <v>43509</v>
      </c>
      <c r="B40" s="11"/>
      <c r="C40" s="11"/>
      <c r="D40" s="31"/>
      <c r="F40" s="31"/>
      <c r="G40" s="31"/>
      <c r="H40" s="31"/>
      <c r="J40" s="31"/>
      <c r="N40" s="31"/>
      <c r="O40" s="31"/>
      <c r="P40" s="31"/>
      <c r="Q40" s="31"/>
      <c r="R40" s="32"/>
      <c r="S40" s="31"/>
      <c r="T40" s="31"/>
      <c r="U40" s="32"/>
      <c r="V40" s="31"/>
      <c r="W40" s="32"/>
      <c r="Y40" s="41"/>
      <c r="AB40" s="32"/>
      <c r="AC40" s="32"/>
      <c r="AD40" s="32"/>
      <c r="AE40" s="32"/>
      <c r="AF40" s="45"/>
      <c r="AG40" s="28"/>
      <c r="AI40" s="27"/>
      <c r="AJ40" s="52"/>
      <c r="AK40" s="27"/>
      <c r="AL40" s="27"/>
      <c r="AM40" s="27"/>
      <c r="AN40" s="27"/>
      <c r="AO40" s="27"/>
      <c r="AP40" s="27"/>
      <c r="AQ40" s="28"/>
      <c r="AR40" s="51"/>
      <c r="AS40" s="28"/>
      <c r="AT40" s="28"/>
      <c r="AU40" s="4"/>
      <c r="AV40" s="24">
        <v>300</v>
      </c>
      <c r="AW40" s="24">
        <v>1200</v>
      </c>
      <c r="AX40" s="24">
        <v>3600</v>
      </c>
      <c r="AY40" s="24">
        <v>28800</v>
      </c>
      <c r="AZ40" s="24">
        <v>86400</v>
      </c>
      <c r="BA40" s="24">
        <v>172800</v>
      </c>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11"/>
      <c r="CS40" s="11"/>
      <c r="CT40" s="11"/>
      <c r="CU40" s="11"/>
    </row>
    <row r="41" spans="1:99" ht="12" customHeight="1" x14ac:dyDescent="0.2">
      <c r="A41" s="37">
        <v>43509</v>
      </c>
      <c r="B41" s="11" t="s">
        <v>161</v>
      </c>
      <c r="C41" s="11" t="s">
        <v>39</v>
      </c>
      <c r="D41" s="31">
        <v>1926</v>
      </c>
      <c r="E41" s="42">
        <v>2</v>
      </c>
      <c r="F41" s="31">
        <v>6</v>
      </c>
      <c r="G41" s="31">
        <v>6</v>
      </c>
      <c r="H41" s="31" t="s">
        <v>22</v>
      </c>
      <c r="I41" s="36" t="s">
        <v>159</v>
      </c>
      <c r="J41" s="31" t="s">
        <v>148</v>
      </c>
      <c r="K41" s="32">
        <f>IF(J41="syllables",1,IF(J41="trigrams",2,IF(J41="strings",3,IF(J41="visual array",4,IF(J41="characters",5,IF(J41="letters",6,IF(J41="free forms",7,IF(J41="odors",8,IF(J41="words",9,IF(J41="pictures",10,IF(J41="object pictures",11,IF(J41="faces",12,IF(J41="names",13,IF(J41="idioms",14,IF(J41="grades",15,IF(J41="syllable-digit pairs",16,IF(J41="trigram-word pairs",17,IF(J41="word-digit pairs",18,IF(J41="English-Swahili pairs",19,IF(J41="spatial position",20,IF(J41="word pairs",21,IF(J41="word triads",22,IF(J41="generated words",23,IF(J41="word definition pairs",24,IF(J41="math problems",25,IF(J41="famous faces",26,IF(J41="famous names",27,IF(J41="famous voices",28,IF(J41="television programs",29,IF(J41="race horses",30,IF(J41="new vocabulary",31,IF(J41="sentences",32,IF(J41="concepts",33,IF(J41="ad slides",34,IF(J41="scenes",35,IF(J41="famous scenes",36,IF(J41="poems",37,IF(J41="walk",38,IF(J41="faces and events",39,IF(J41="events and names",40,IF(J41="flashbulb",41,IF(J41="stories",42,IF(J41="course material",43,IF(J41="autobiographical",44,IF(J41="novels",45,IF(J41="public events",46,"99"))))))))))))))))))))))))))))))))))))))))))))))</f>
        <v>5</v>
      </c>
      <c r="L41" s="32">
        <f>IF(J41="syllables",1,IF(J41="trigrams",1,IF(J41="strings",1,IF(J41="visual array",1,IF(J41="characters",1,IF(J41="letters",1,IF(J41="free forms",1,IF(J41="odors",2,IF(J41="words",2,IF(J41="pictures",2,IF(J41="object pictures",2,IF(J41="faces",2,IF(J41="names",2,IF(J41="idioms","2",IF(J41="grades",2,IF(J41="syllable-digit pairs",3,IF(J41="trigram-word pairs",3,IF(J41="word-digit pairs",3,IF(J41="English-Swahili pairs",3,IF(J41="spatial position",3,IF(J41="word pairs",4,IF(J41="word triads",4,IF(J41="generated words",4,IF(J41="word definition pairs",4,IF(J41="math problems",4,IF(J41="famous faces",4,IF(J41="famous names",4,IF(J41="famous voices",4,IF(J41="television programs",4,IF(J41="race horses",4,IF(J41="new vocabulary",4,IF(J41="sentences",5,IF(J41="concepts",5,IF(J41="ad slides",5,IF(J41="scenes",5,IF(J41="famous scenes",5,IF(J41="poems",6,IF(J41="walk",6,IF(J41="faces and events",6,IF(J41="events and names",6,IF(J41="flashbulb",7,IF(J41="stories",7,IF(J41="course material",7,IF(J41="autobiographical",7,IF(J41="novels",7,IF(J41="public events",7,"99"))))))))))))))))))))))))))))))))))))))))))))))</f>
        <v>1</v>
      </c>
      <c r="M41" s="36">
        <v>0</v>
      </c>
      <c r="N41" s="31">
        <v>1</v>
      </c>
      <c r="O41" s="31">
        <v>0</v>
      </c>
      <c r="P41" s="31"/>
      <c r="Q41" s="31" t="s">
        <v>18</v>
      </c>
      <c r="R41" s="32">
        <f>IF(Q41="Free Recall",1,IF(Q41="Cued Recall",2,IF(Q41="Recognition",3,IF(Q41="Multiple Choice",4,IF(Q41="Savings",5,IF(Q41="Stem Completion",6,IF(Q41="Fragment Completion",7,IF(Q41="anagram solution",8,IF(Q41="Matching",9,IF(Q41="Problem Solving",10,"99"))))))))))</f>
        <v>3</v>
      </c>
      <c r="S41" s="31" t="s">
        <v>196</v>
      </c>
      <c r="T41" s="31" t="s">
        <v>132</v>
      </c>
      <c r="U41" s="32">
        <f>IF(T41="within",1,0)</f>
        <v>1</v>
      </c>
      <c r="V41" s="31">
        <v>65</v>
      </c>
      <c r="W41" s="32">
        <f>F41*V41</f>
        <v>390</v>
      </c>
      <c r="X41" s="32">
        <v>6</v>
      </c>
      <c r="Y41" s="41">
        <f>AV40</f>
        <v>300</v>
      </c>
      <c r="Z41" s="36" t="s">
        <v>40</v>
      </c>
      <c r="AA41" s="31">
        <f>2*24*3600</f>
        <v>172800</v>
      </c>
      <c r="AB41" s="32" t="str">
        <f>IF(AA41&lt;60,"1",IF(AA41&lt;=43200,"2",IF(AA41&lt;=777600,"3","4")))</f>
        <v>3</v>
      </c>
      <c r="AC41" s="28">
        <f>AVERAGE(AV40:DA40)</f>
        <v>48850</v>
      </c>
      <c r="AD41" s="32" t="str">
        <f>IF(AC41&lt;60,"1",IF(AC41&lt;=43200,"2",IF(AC41&lt;=777600,"3","4")))</f>
        <v>3</v>
      </c>
      <c r="AE41" s="41">
        <f>AA41-Y41</f>
        <v>172500</v>
      </c>
      <c r="AF41" s="45">
        <f>AV41</f>
        <v>1.3621025590677971</v>
      </c>
      <c r="AG41" s="28">
        <f>((AW41-AV41)+(AX41-AW41)+(AY41-AX41)+(AZ41-AY41)+(BA41-AZ41))/5</f>
        <v>-9.7446533756666259E-2</v>
      </c>
      <c r="AI41" s="28">
        <f>RSQ(AV41:BA41,AV40:BA40)</f>
        <v>0.68079767288935267</v>
      </c>
      <c r="AJ41" s="51">
        <f>SLOPE(AV41:BA41,AV40:BA40)</f>
        <v>-2.2754949384067415E-6</v>
      </c>
      <c r="AK41" s="28">
        <f>INTERCEPT(AV41:BA41,AV40:BA40)</f>
        <v>1.2727046758258993</v>
      </c>
      <c r="AL41" s="28">
        <f>INDEX(LINEST(LN(AV41:BA41),LN(AV40:BA40),TRUE,TRUE),3,1)</f>
        <v>0.77351925357668949</v>
      </c>
      <c r="AM41" s="28">
        <f>INDEX(LINEST(LN(AV41:BA41),LN(AV40:BA40)),1)</f>
        <v>-6.0025416092165336E-2</v>
      </c>
      <c r="AN41" s="28">
        <f>EXP(INDEX(LINEST(LN(AV41:BA41),LN(AV40:BA40)),1,2))</f>
        <v>1.9834645804758035</v>
      </c>
      <c r="AO41" s="47">
        <f>INDEX(LINEST((AV41:BA41),LN(AV40:BA40),TRUE,TRUE),3,1)</f>
        <v>0.80523414453422848</v>
      </c>
      <c r="AP41" s="47">
        <f>INDEX(LINEST((AV41:BA41),LN(AV40:BA40)),1)</f>
        <v>-6.7916403355973029E-2</v>
      </c>
      <c r="AQ41" s="48">
        <f>INDEX(LINEST(LN(AV41:BA41),SQRT(AV40:BA40),TRUE,TRUE),3,1)</f>
        <v>0.76794652271319963</v>
      </c>
      <c r="AR41" s="56">
        <f>INDEX(LINEST(LN(AV41:BA41),SQRT((AV40:BA40))),1)</f>
        <v>-9.3591129485548583E-4</v>
      </c>
      <c r="AS41" s="49">
        <f>INDEX(LINEST(1/(AV41:BA41),1/(SQRT(AV40:BA40)),TRUE,TRUE),3,1)</f>
        <v>0.54159943065389415</v>
      </c>
      <c r="AT41" s="49">
        <f>INDEX(LINEST(1/(AV41:BA41),1/SQRT(AV40:BA40)),1)</f>
        <v>-5.4203474774865228</v>
      </c>
      <c r="AU41" s="3"/>
      <c r="AV41" s="7">
        <v>1.3621025590677971</v>
      </c>
      <c r="AW41" s="7">
        <v>1.3417829606294027</v>
      </c>
      <c r="AX41" s="7">
        <v>1.2272082566808913</v>
      </c>
      <c r="AY41" s="7">
        <v>1.0129830196007652</v>
      </c>
      <c r="AZ41" s="7">
        <v>1.1503338022450573</v>
      </c>
      <c r="BA41" s="7">
        <v>0.87486989028446582</v>
      </c>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11"/>
      <c r="CS41" s="11"/>
      <c r="CT41" s="11"/>
      <c r="CU41" s="11"/>
    </row>
    <row r="42" spans="1:99" ht="12" customHeight="1" x14ac:dyDescent="0.2">
      <c r="A42" s="37">
        <v>43509</v>
      </c>
      <c r="B42" s="11"/>
      <c r="C42" s="11"/>
      <c r="D42" s="31"/>
      <c r="F42" s="31"/>
      <c r="G42" s="31"/>
      <c r="H42" s="31"/>
      <c r="J42" s="31"/>
      <c r="N42" s="31"/>
      <c r="O42" s="31"/>
      <c r="P42" s="31"/>
      <c r="Q42" s="31"/>
      <c r="R42" s="32"/>
      <c r="S42" s="31"/>
      <c r="T42" s="31"/>
      <c r="U42" s="32"/>
      <c r="V42" s="31"/>
      <c r="W42" s="32"/>
      <c r="Y42" s="41"/>
      <c r="AB42" s="32"/>
      <c r="AC42" s="32"/>
      <c r="AD42" s="32"/>
      <c r="AE42" s="32"/>
      <c r="AF42" s="45"/>
      <c r="AG42" s="28"/>
      <c r="AI42" s="27"/>
      <c r="AJ42" s="52"/>
      <c r="AK42" s="27"/>
      <c r="AL42" s="27"/>
      <c r="AM42" s="27"/>
      <c r="AN42" s="27"/>
      <c r="AO42" s="27"/>
      <c r="AP42" s="27"/>
      <c r="AQ42" s="28"/>
      <c r="AR42" s="51"/>
      <c r="AS42" s="28"/>
      <c r="AT42" s="28"/>
      <c r="AU42" s="4"/>
      <c r="AV42" s="24">
        <v>300</v>
      </c>
      <c r="AW42" s="24">
        <v>1200</v>
      </c>
      <c r="AX42" s="24">
        <v>3600</v>
      </c>
      <c r="AY42" s="24">
        <v>28800</v>
      </c>
      <c r="AZ42" s="24">
        <v>86400</v>
      </c>
      <c r="BA42" s="24">
        <v>172800</v>
      </c>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11"/>
      <c r="CS42" s="11"/>
      <c r="CT42" s="11"/>
      <c r="CU42" s="11"/>
    </row>
    <row r="43" spans="1:99" ht="12" customHeight="1" x14ac:dyDescent="0.2">
      <c r="A43" s="37">
        <v>43509</v>
      </c>
      <c r="B43" s="11" t="s">
        <v>161</v>
      </c>
      <c r="C43" s="11" t="s">
        <v>39</v>
      </c>
      <c r="D43" s="31">
        <v>1926</v>
      </c>
      <c r="E43" s="42">
        <v>2</v>
      </c>
      <c r="F43" s="31">
        <v>13</v>
      </c>
      <c r="G43" s="31">
        <v>13</v>
      </c>
      <c r="H43" s="31" t="s">
        <v>22</v>
      </c>
      <c r="I43" s="36" t="s">
        <v>160</v>
      </c>
      <c r="J43" s="31" t="s">
        <v>148</v>
      </c>
      <c r="K43" s="32">
        <f>IF(J43="syllables",1,IF(J43="trigrams",2,IF(J43="strings",3,IF(J43="visual array",4,IF(J43="characters",5,IF(J43="letters",6,IF(J43="free forms",7,IF(J43="odors",8,IF(J43="words",9,IF(J43="pictures",10,IF(J43="object pictures",11,IF(J43="faces",12,IF(J43="names",13,IF(J43="idioms",14,IF(J43="grades",15,IF(J43="syllable-digit pairs",16,IF(J43="trigram-word pairs",17,IF(J43="word-digit pairs",18,IF(J43="English-Swahili pairs",19,IF(J43="spatial position",20,IF(J43="word pairs",21,IF(J43="word triads",22,IF(J43="generated words",23,IF(J43="word definition pairs",24,IF(J43="math problems",25,IF(J43="famous faces",26,IF(J43="famous names",27,IF(J43="famous voices",28,IF(J43="television programs",29,IF(J43="race horses",30,IF(J43="new vocabulary",31,IF(J43="sentences",32,IF(J43="concepts",33,IF(J43="ad slides",34,IF(J43="scenes",35,IF(J43="famous scenes",36,IF(J43="poems",37,IF(J43="walk",38,IF(J43="faces and events",39,IF(J43="events and names",40,IF(J43="flashbulb",41,IF(J43="stories",42,IF(J43="course material",43,IF(J43="autobiographical",44,IF(J43="novels",45,IF(J43="public events",46,"99"))))))))))))))))))))))))))))))))))))))))))))))</f>
        <v>5</v>
      </c>
      <c r="L43" s="32">
        <f>IF(J43="syllables",1,IF(J43="trigrams",1,IF(J43="strings",1,IF(J43="visual array",1,IF(J43="characters",1,IF(J43="letters",1,IF(J43="free forms",1,IF(J43="odors",2,IF(J43="words",2,IF(J43="pictures",2,IF(J43="object pictures",2,IF(J43="faces",2,IF(J43="names",2,IF(J43="idioms","2",IF(J43="grades",2,IF(J43="syllable-digit pairs",3,IF(J43="trigram-word pairs",3,IF(J43="word-digit pairs",3,IF(J43="English-Swahili pairs",3,IF(J43="spatial position",3,IF(J43="word pairs",4,IF(J43="word triads",4,IF(J43="generated words",4,IF(J43="word definition pairs",4,IF(J43="math problems",4,IF(J43="famous faces",4,IF(J43="famous names",4,IF(J43="famous voices",4,IF(J43="television programs",4,IF(J43="race horses",4,IF(J43="new vocabulary",4,IF(J43="sentences",5,IF(J43="concepts",5,IF(J43="ad slides",5,IF(J43="scenes",5,IF(J43="famous scenes",5,IF(J43="poems",6,IF(J43="walk",6,IF(J43="faces and events",6,IF(J43="events and names",6,IF(J43="flashbulb",7,IF(J43="stories",7,IF(J43="course material",7,IF(J43="autobiographical",7,IF(J43="novels",7,IF(J43="public events",7,"99"))))))))))))))))))))))))))))))))))))))))))))))</f>
        <v>1</v>
      </c>
      <c r="M43" s="36">
        <v>0</v>
      </c>
      <c r="N43" s="31">
        <v>1</v>
      </c>
      <c r="O43" s="31">
        <v>0</v>
      </c>
      <c r="P43" s="31"/>
      <c r="Q43" s="31" t="s">
        <v>18</v>
      </c>
      <c r="R43" s="32">
        <f>IF(Q43="Free Recall",1,IF(Q43="Cued Recall",2,IF(Q43="Recognition",3,IF(Q43="Multiple Choice",4,IF(Q43="Savings",5,IF(Q43="Stem Completion",6,IF(Q43="Fragment Completion",7,IF(Q43="anagram solution",8,IF(Q43="Matching",9,IF(Q43="Problem Solving",10,"99"))))))))))</f>
        <v>3</v>
      </c>
      <c r="S43" s="31" t="s">
        <v>196</v>
      </c>
      <c r="T43" s="31" t="s">
        <v>132</v>
      </c>
      <c r="U43" s="32">
        <f>IF(T43="within",1,0)</f>
        <v>1</v>
      </c>
      <c r="V43" s="31">
        <v>65</v>
      </c>
      <c r="W43" s="32">
        <f>F43*V43</f>
        <v>845</v>
      </c>
      <c r="X43" s="32">
        <v>6</v>
      </c>
      <c r="Y43" s="41">
        <f>AV42</f>
        <v>300</v>
      </c>
      <c r="Z43" s="36" t="s">
        <v>40</v>
      </c>
      <c r="AA43" s="31">
        <f>2*24*3600</f>
        <v>172800</v>
      </c>
      <c r="AB43" s="32" t="str">
        <f>IF(AA43&lt;60,"1",IF(AA43&lt;=43200,"2",IF(AA43&lt;=777600,"3","4")))</f>
        <v>3</v>
      </c>
      <c r="AC43" s="28">
        <f>AVERAGE(AV42:DA42)</f>
        <v>48850</v>
      </c>
      <c r="AD43" s="32" t="str">
        <f>IF(AC43&lt;60,"1",IF(AC43&lt;=43200,"2",IF(AC43&lt;=777600,"3","4")))</f>
        <v>3</v>
      </c>
      <c r="AE43" s="41">
        <f>AA43-Y43</f>
        <v>172500</v>
      </c>
      <c r="AF43" s="45">
        <f>AV43</f>
        <v>0.9157755150253537</v>
      </c>
      <c r="AG43" s="30">
        <f>((AW43-AV43)+(AX43-AW43)+(AY43-AX43)+(AZ43-AY43)+(BA43-AZ43))/5</f>
        <v>-1.9390815301438779E-2</v>
      </c>
      <c r="AI43" s="28">
        <f>RSQ(AV43:BA43,AV42:BA42)</f>
        <v>1.4720725998657761E-2</v>
      </c>
      <c r="AJ43" s="51">
        <f>SLOPE(AV43:BA43,AV42:BA42)</f>
        <v>-3.7376566573991757E-7</v>
      </c>
      <c r="AK43" s="28">
        <f>INTERCEPT(AV43:BA43,AV42:BA42)</f>
        <v>0.88344373006700128</v>
      </c>
      <c r="AL43" s="28">
        <f>INDEX(LINEST(LN(AV43:BA43),LN(AV42:BA42),TRUE,TRUE),3,1)</f>
        <v>2.7506066497114134E-2</v>
      </c>
      <c r="AM43" s="28">
        <f>INDEX(LINEST(LN(AV43:BA43),LN(AV42:BA42)),1)</f>
        <v>-1.7407171455308845E-2</v>
      </c>
      <c r="AN43" s="28">
        <f>EXP(INDEX(LINEST(LN(AV43:BA43),LN(AV42:BA42)),1,2))</f>
        <v>0.98641367341139974</v>
      </c>
      <c r="AO43" s="47">
        <f>INDEX(LINEST((AV43:BA43),LN(AV42:BA42),TRUE,TRUE),3,1)</f>
        <v>6.1205460201002801E-2</v>
      </c>
      <c r="AP43" s="47">
        <f>INDEX(LINEST((AV43:BA43),LN(AV42:BA42)),1)</f>
        <v>-2.0915903001072954E-2</v>
      </c>
      <c r="AQ43" s="48">
        <f t="shared" ref="AQ43" si="0">INDEX(LINEST(LN(AV43:BA43),SQRT(AV42:BA42),TRUE,TRUE),3,1)</f>
        <v>3.6695245059698068E-3</v>
      </c>
      <c r="AR43" s="56">
        <f t="shared" ref="AR43" si="1">INDEX(LINEST(LN(AV43:BA43),SQRT((AV42:BA42))),1)</f>
        <v>-9.94920645858572E-5</v>
      </c>
      <c r="AS43" s="49">
        <f t="shared" ref="AS43" si="2">INDEX(LINEST(1/(AV43:BA43),1/(SQRT(AV42:BA42)),TRUE,TRUE),3,1)</f>
        <v>4.9667174233963642E-2</v>
      </c>
      <c r="AT43" s="49">
        <f t="shared" ref="AT43" si="3">INDEX(LINEST(1/(AV43:BA43),1/SQRT(AV42:BA42)),1)</f>
        <v>-3.6765436687055315</v>
      </c>
      <c r="AU43" s="3"/>
      <c r="AV43" s="7">
        <v>0.9157755150253537</v>
      </c>
      <c r="AW43" s="7">
        <v>1.1939484408643783</v>
      </c>
      <c r="AX43" s="7">
        <v>0.52831581129696159</v>
      </c>
      <c r="AY43" s="7">
        <v>0.87273950266586819</v>
      </c>
      <c r="AZ43" s="7">
        <v>0.86151095540291656</v>
      </c>
      <c r="BA43" s="7">
        <v>0.81882143851815981</v>
      </c>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11"/>
      <c r="CS43" s="11"/>
      <c r="CT43" s="11"/>
      <c r="CU43" s="11"/>
    </row>
    <row r="44" spans="1:99" ht="12" customHeight="1" x14ac:dyDescent="0.2">
      <c r="A44" s="37">
        <v>43509</v>
      </c>
      <c r="B44" s="11"/>
      <c r="C44" s="11"/>
      <c r="D44" s="31"/>
      <c r="F44" s="31"/>
      <c r="G44" s="31"/>
      <c r="H44" s="31"/>
      <c r="J44" s="31"/>
      <c r="N44" s="31"/>
      <c r="O44" s="31"/>
      <c r="P44" s="31"/>
      <c r="Q44" s="31"/>
      <c r="R44" s="32"/>
      <c r="S44" s="31"/>
      <c r="T44" s="31"/>
      <c r="U44" s="32"/>
      <c r="V44" s="31"/>
      <c r="W44" s="32"/>
      <c r="Y44" s="41"/>
      <c r="AB44" s="32"/>
      <c r="AC44" s="32"/>
      <c r="AD44" s="32"/>
      <c r="AE44" s="32"/>
      <c r="AF44" s="45"/>
      <c r="AG44" s="28"/>
      <c r="AI44" s="27"/>
      <c r="AJ44" s="52"/>
      <c r="AK44" s="27"/>
      <c r="AL44" s="27"/>
      <c r="AM44" s="27"/>
      <c r="AN44" s="27"/>
      <c r="AO44" s="27"/>
      <c r="AP44" s="27"/>
      <c r="AQ44" s="28"/>
      <c r="AR44" s="51"/>
      <c r="AS44" s="28"/>
      <c r="AT44" s="28"/>
      <c r="AU44" s="4"/>
      <c r="AV44" s="24">
        <v>300</v>
      </c>
      <c r="AW44" s="24">
        <v>1200</v>
      </c>
      <c r="AX44" s="24">
        <v>3600</v>
      </c>
      <c r="AY44" s="24">
        <v>28800</v>
      </c>
      <c r="AZ44" s="24">
        <v>86400</v>
      </c>
      <c r="BA44" s="24">
        <v>172800</v>
      </c>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11"/>
      <c r="CS44" s="11"/>
      <c r="CT44" s="11"/>
      <c r="CU44" s="11"/>
    </row>
    <row r="45" spans="1:99" ht="12" customHeight="1" x14ac:dyDescent="0.2">
      <c r="A45" s="37">
        <v>43509</v>
      </c>
      <c r="B45" s="11" t="s">
        <v>161</v>
      </c>
      <c r="C45" s="11" t="s">
        <v>39</v>
      </c>
      <c r="D45" s="31">
        <v>1926</v>
      </c>
      <c r="E45" s="42">
        <v>3</v>
      </c>
      <c r="F45" s="31">
        <v>13</v>
      </c>
      <c r="G45" s="31">
        <v>13</v>
      </c>
      <c r="H45" s="31" t="s">
        <v>15</v>
      </c>
      <c r="J45" s="31" t="s">
        <v>148</v>
      </c>
      <c r="K45" s="32">
        <f>IF(J45="syllables",1,IF(J45="trigrams",2,IF(J45="strings",3,IF(J45="visual array",4,IF(J45="characters",5,IF(J45="letters",6,IF(J45="free forms",7,IF(J45="odors",8,IF(J45="words",9,IF(J45="pictures",10,IF(J45="object pictures",11,IF(J45="faces",12,IF(J45="names",13,IF(J45="idioms",14,IF(J45="grades",15,IF(J45="syllable-digit pairs",16,IF(J45="trigram-word pairs",17,IF(J45="word-digit pairs",18,IF(J45="English-Swahili pairs",19,IF(J45="spatial position",20,IF(J45="word pairs",21,IF(J45="word triads",22,IF(J45="generated words",23,IF(J45="word definition pairs",24,IF(J45="math problems",25,IF(J45="famous faces",26,IF(J45="famous names",27,IF(J45="famous voices",28,IF(J45="television programs",29,IF(J45="race horses",30,IF(J45="new vocabulary",31,IF(J45="sentences",32,IF(J45="concepts",33,IF(J45="ad slides",34,IF(J45="scenes",35,IF(J45="famous scenes",36,IF(J45="poems",37,IF(J45="walk",38,IF(J45="faces and events",39,IF(J45="events and names",40,IF(J45="flashbulb",41,IF(J45="stories",42,IF(J45="course material",43,IF(J45="autobiographical",44,IF(J45="novels",45,IF(J45="public events",46,"99"))))))))))))))))))))))))))))))))))))))))))))))</f>
        <v>5</v>
      </c>
      <c r="L45" s="32">
        <f>IF(J45="syllables",1,IF(J45="trigrams",1,IF(J45="strings",1,IF(J45="visual array",1,IF(J45="characters",1,IF(J45="letters",1,IF(J45="free forms",1,IF(J45="odors",2,IF(J45="words",2,IF(J45="pictures",2,IF(J45="object pictures",2,IF(J45="faces",2,IF(J45="names",2,IF(J45="idioms","2",IF(J45="grades",2,IF(J45="syllable-digit pairs",3,IF(J45="trigram-word pairs",3,IF(J45="word-digit pairs",3,IF(J45="English-Swahili pairs",3,IF(J45="spatial position",3,IF(J45="word pairs",4,IF(J45="word triads",4,IF(J45="generated words",4,IF(J45="word definition pairs",4,IF(J45="math problems",4,IF(J45="famous faces",4,IF(J45="famous names",4,IF(J45="famous voices",4,IF(J45="television programs",4,IF(J45="race horses",4,IF(J45="new vocabulary",4,IF(J45="sentences",5,IF(J45="concepts",5,IF(J45="ad slides",5,IF(J45="scenes",5,IF(J45="famous scenes",5,IF(J45="poems",6,IF(J45="walk",6,IF(J45="faces and events",6,IF(J45="events and names",6,IF(J45="flashbulb",7,IF(J45="stories",7,IF(J45="course material",7,IF(J45="autobiographical",7,IF(J45="novels",7,IF(J45="public events",7,"99"))))))))))))))))))))))))))))))))))))))))))))))</f>
        <v>1</v>
      </c>
      <c r="M45" s="36">
        <v>0</v>
      </c>
      <c r="N45" s="31">
        <v>1</v>
      </c>
      <c r="O45" s="31">
        <v>0</v>
      </c>
      <c r="P45" s="31"/>
      <c r="Q45" s="31" t="s">
        <v>18</v>
      </c>
      <c r="R45" s="32">
        <f>IF(Q45="Free Recall",1,IF(Q45="Cued Recall",2,IF(Q45="Recognition",3,IF(Q45="Multiple Choice",4,IF(Q45="Savings",5,IF(Q45="Stem Completion",6,IF(Q45="Fragment Completion",7,IF(Q45="anagram solution",8,IF(Q45="Matching",9,IF(Q45="Problem Solving",10,"99"))))))))))</f>
        <v>3</v>
      </c>
      <c r="S45" s="31" t="s">
        <v>196</v>
      </c>
      <c r="T45" s="31" t="s">
        <v>132</v>
      </c>
      <c r="U45" s="32">
        <f>IF(T45="within",1,0)</f>
        <v>1</v>
      </c>
      <c r="V45" s="31">
        <v>65</v>
      </c>
      <c r="W45" s="32">
        <f>F45*V45</f>
        <v>845</v>
      </c>
      <c r="X45" s="32">
        <v>6</v>
      </c>
      <c r="Y45" s="41">
        <f>AV44</f>
        <v>300</v>
      </c>
      <c r="Z45" s="36" t="s">
        <v>40</v>
      </c>
      <c r="AA45" s="31">
        <f>2*24*3600</f>
        <v>172800</v>
      </c>
      <c r="AB45" s="32" t="str">
        <f>IF(AA45&lt;60,"1",IF(AA45&lt;=43200,"2",IF(AA45&lt;=777600,"3","4")))</f>
        <v>3</v>
      </c>
      <c r="AC45" s="28">
        <f>AVERAGE(AV44:DA44)</f>
        <v>48850</v>
      </c>
      <c r="AD45" s="32" t="str">
        <f>IF(AC45&lt;60,"1",IF(AC45&lt;=43200,"2",IF(AC45&lt;=777600,"3","4")))</f>
        <v>3</v>
      </c>
      <c r="AE45" s="41">
        <f>AA45-Y45</f>
        <v>172500</v>
      </c>
      <c r="AF45" s="45">
        <f>AV45</f>
        <v>1.7317273599228642</v>
      </c>
      <c r="AG45" s="28">
        <f>((AW45-AV45)+(AX45-AW45)+(AY45-AX45)+(AZ45-AY45)+(BA45-AZ45))/5</f>
        <v>-0.23786425877911768</v>
      </c>
      <c r="AI45" s="28">
        <f>RSQ(AV45:BA45,AV44:BA44)</f>
        <v>0.1979345059666891</v>
      </c>
      <c r="AJ45" s="51">
        <f>SLOPE(AV45:BA45,AV44:BA44)</f>
        <v>-2.9597839200639901E-6</v>
      </c>
      <c r="AK45" s="28">
        <f>INTERCEPT(AV45:BA45,AV44:BA44)</f>
        <v>1.0165632213580145</v>
      </c>
      <c r="AL45" s="28">
        <f>INDEX(LINEST(LN(AV45:BA45),LN(AV44:BA44),TRUE,TRUE),3,1)</f>
        <v>0.57336786354811653</v>
      </c>
      <c r="AM45" s="28">
        <f>INDEX(LINEST(LN(AV45:BA45),LN(AV44:BA44)),1)</f>
        <v>-0.13911314913587569</v>
      </c>
      <c r="AN45" s="28">
        <f>EXP(INDEX(LINEST(LN(AV45:BA45),LN(AV44:BA44)),1,2))</f>
        <v>2.8121538011150662</v>
      </c>
      <c r="AO45" s="47">
        <f>INDEX(LINEST((AV45:BA45),LN(AV44:BA44),TRUE,TRUE),3,1)</f>
        <v>0.57847379295122114</v>
      </c>
      <c r="AP45" s="47">
        <f>INDEX(LINEST((AV45:BA45),LN(AV44:BA44)),1)</f>
        <v>-0.13886341464586405</v>
      </c>
      <c r="AQ45" s="48">
        <f t="shared" ref="AQ45" si="4">INDEX(LINEST(LN(AV45:BA45),SQRT(AV44:BA44),TRUE,TRUE),3,1)</f>
        <v>0.31670889799650409</v>
      </c>
      <c r="AR45" s="56">
        <f t="shared" ref="AR45" si="5">INDEX(LINEST(LN(AV45:BA45),SQRT((AV44:BA44))),1)</f>
        <v>-1.6178983231067545E-3</v>
      </c>
      <c r="AS45" s="49">
        <f t="shared" ref="AS45" si="6">INDEX(LINEST(1/(AV45:BA45),1/(SQRT(AV44:BA44)),TRUE,TRUE),3,1)</f>
        <v>0.68714276933310992</v>
      </c>
      <c r="AT45" s="49">
        <f t="shared" ref="AT45" si="7">INDEX(LINEST(1/(AV45:BA45),1/SQRT(AV44:BA44)),1)</f>
        <v>-20.924251097310336</v>
      </c>
      <c r="AU45" s="3"/>
      <c r="AV45" s="7">
        <v>1.7317273599228642</v>
      </c>
      <c r="AW45" s="7">
        <v>0.97872958014697664</v>
      </c>
      <c r="AX45" s="7">
        <v>0.63788189927533845</v>
      </c>
      <c r="AY45" s="7">
        <v>0.49665919402480874</v>
      </c>
      <c r="AZ45" s="7">
        <v>0.84446256178006684</v>
      </c>
      <c r="BA45" s="7">
        <v>0.54240606602727592</v>
      </c>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11"/>
      <c r="CS45" s="11"/>
      <c r="CT45" s="11"/>
      <c r="CU45" s="11"/>
    </row>
    <row r="46" spans="1:99" ht="12" customHeight="1" x14ac:dyDescent="0.2">
      <c r="R46" s="32"/>
      <c r="U46" s="32"/>
      <c r="W46" s="32"/>
      <c r="Y46" s="41"/>
      <c r="AB46" s="32"/>
      <c r="AD46" s="32"/>
      <c r="AE46" s="32"/>
      <c r="AF46" s="45"/>
    </row>
    <row r="47" spans="1:99" ht="12" customHeight="1" x14ac:dyDescent="0.2">
      <c r="K47" s="32"/>
      <c r="R47" s="32"/>
      <c r="U47" s="32"/>
      <c r="Y47" s="36"/>
      <c r="AB47" s="32"/>
      <c r="AD47" s="32"/>
      <c r="AE47" s="42"/>
      <c r="AF47" s="29"/>
      <c r="AL47" s="68" t="s">
        <v>135</v>
      </c>
      <c r="AM47" s="29">
        <f>AVERAGE(AM3:AM45)</f>
        <v>-0.12917461484833476</v>
      </c>
    </row>
    <row r="48" spans="1:99" ht="12" customHeight="1" x14ac:dyDescent="0.2">
      <c r="R48" s="32"/>
      <c r="Y48" s="36"/>
      <c r="AB48" s="32"/>
      <c r="AD48" s="32"/>
      <c r="AF48" s="36"/>
      <c r="AG48" s="36"/>
      <c r="AL48" s="23" t="s">
        <v>188</v>
      </c>
      <c r="AM48" s="29">
        <f>MEDIAN(AM3:AM45)</f>
        <v>-0.13409059054111686</v>
      </c>
    </row>
    <row r="49" spans="11:39" ht="12" customHeight="1" x14ac:dyDescent="0.2">
      <c r="K49" s="32"/>
      <c r="R49" s="32"/>
      <c r="Y49" s="36"/>
      <c r="AB49" s="32"/>
      <c r="AD49" s="32"/>
      <c r="AF49" s="36"/>
      <c r="AG49" s="36"/>
      <c r="AL49" s="68" t="s">
        <v>167</v>
      </c>
      <c r="AM49" s="29">
        <f>MIN(AM3:AM45)</f>
        <v>-0.25798424290738398</v>
      </c>
    </row>
    <row r="50" spans="11:39" ht="12" customHeight="1" x14ac:dyDescent="0.2">
      <c r="R50" s="32"/>
      <c r="Y50" s="36"/>
      <c r="AB50" s="32"/>
      <c r="AD50" s="32"/>
      <c r="AF50" s="29"/>
      <c r="AL50" s="68" t="s">
        <v>166</v>
      </c>
      <c r="AM50" s="29">
        <f>MAX(AM3:AM45)</f>
        <v>-1.6564050588993136E-2</v>
      </c>
    </row>
    <row r="51" spans="11:39" ht="12" customHeight="1" x14ac:dyDescent="0.2">
      <c r="K51" s="32"/>
      <c r="R51" s="32"/>
      <c r="Y51" s="36"/>
      <c r="AB51" s="32"/>
      <c r="AD51" s="32"/>
      <c r="AF51" s="36"/>
      <c r="AG51" s="36"/>
      <c r="AL51" s="68" t="s">
        <v>168</v>
      </c>
      <c r="AM51" s="36">
        <f xml:space="preserve"> STDEV(AM3:AM45)</f>
        <v>6.7197117444519616E-2</v>
      </c>
    </row>
    <row r="52" spans="11:39" ht="12" customHeight="1" x14ac:dyDescent="0.2">
      <c r="R52" s="32"/>
      <c r="W52" s="32"/>
      <c r="Y52" s="41"/>
      <c r="AB52" s="32"/>
      <c r="AD52" s="32"/>
      <c r="AE52" s="32"/>
      <c r="AF52" s="45"/>
      <c r="AL52" s="23" t="s">
        <v>187</v>
      </c>
      <c r="AM52" s="36">
        <f xml:space="preserve"> STDEV(AM3:AM45)/SQRT(COUNT(AM3:AM45))</f>
        <v>1.4326473576203667E-2</v>
      </c>
    </row>
    <row r="53" spans="11:39" ht="12" customHeight="1" x14ac:dyDescent="0.2">
      <c r="K53" s="32"/>
      <c r="R53" s="32"/>
      <c r="W53" s="32"/>
      <c r="Y53" s="41"/>
      <c r="AB53" s="32"/>
      <c r="AD53" s="32"/>
      <c r="AE53" s="41"/>
      <c r="AF53" s="45"/>
      <c r="AL53" s="69"/>
      <c r="AM53" s="70"/>
    </row>
    <row r="54" spans="11:39" ht="12" customHeight="1" x14ac:dyDescent="0.2">
      <c r="R54" s="32"/>
      <c r="W54" s="32"/>
      <c r="Y54" s="41"/>
      <c r="AB54" s="32"/>
      <c r="AD54" s="32"/>
      <c r="AE54" s="32"/>
      <c r="AF54" s="45"/>
      <c r="AL54" s="69" t="s">
        <v>45</v>
      </c>
      <c r="AM54" s="70">
        <f>AM47-(3*AM51)</f>
        <v>-0.33076596718189361</v>
      </c>
    </row>
    <row r="55" spans="11:39" ht="12" customHeight="1" x14ac:dyDescent="0.2">
      <c r="K55" s="32"/>
      <c r="L55" s="32"/>
      <c r="R55" s="32"/>
      <c r="W55" s="32"/>
      <c r="Y55" s="41"/>
      <c r="AB55" s="32"/>
      <c r="AE55" s="41"/>
      <c r="AF55" s="45"/>
      <c r="AL55" s="69" t="s">
        <v>44</v>
      </c>
      <c r="AM55" s="70">
        <f>AM47+(3*AM51)</f>
        <v>7.2416737485224092E-2</v>
      </c>
    </row>
    <row r="56" spans="11:39" ht="12" customHeight="1" x14ac:dyDescent="0.2">
      <c r="R56" s="32"/>
      <c r="W56" s="32"/>
      <c r="Y56" s="41"/>
      <c r="AB56" s="32"/>
      <c r="AE56" s="32"/>
      <c r="AF56" s="45"/>
    </row>
    <row r="57" spans="11:39" ht="12" customHeight="1" x14ac:dyDescent="0.2">
      <c r="K57" s="32"/>
      <c r="L57" s="32"/>
      <c r="R57" s="32"/>
      <c r="W57" s="32"/>
      <c r="Y57" s="41"/>
      <c r="AB57" s="32"/>
      <c r="AE57" s="41"/>
      <c r="AF57" s="45"/>
    </row>
    <row r="58" spans="11:39" ht="12" customHeight="1" x14ac:dyDescent="0.2">
      <c r="R58" s="32"/>
      <c r="W58" s="32"/>
      <c r="Y58" s="41"/>
      <c r="AB58" s="32"/>
      <c r="AE58" s="32"/>
      <c r="AF58" s="45"/>
      <c r="AM58" s="38" t="e">
        <f>INDEX(LINEST(LN(#REF!),LN(#REF!)),1)</f>
        <v>#REF!</v>
      </c>
    </row>
    <row r="59" spans="11:39" ht="12" customHeight="1" x14ac:dyDescent="0.2">
      <c r="K59" s="32"/>
      <c r="L59" s="32"/>
      <c r="R59" s="32"/>
      <c r="W59" s="32"/>
      <c r="Y59" s="41"/>
      <c r="AB59" s="32"/>
      <c r="AE59" s="41"/>
      <c r="AF59" s="45"/>
    </row>
    <row r="60" spans="11:39" ht="12" customHeight="1" x14ac:dyDescent="0.2">
      <c r="R60" s="32"/>
      <c r="W60" s="32"/>
      <c r="Y60" s="41"/>
      <c r="AB60" s="32"/>
      <c r="AE60" s="32"/>
      <c r="AF60" s="45"/>
    </row>
    <row r="61" spans="11:39" ht="12" customHeight="1" x14ac:dyDescent="0.2">
      <c r="K61" s="32"/>
      <c r="L61" s="32"/>
      <c r="R61" s="32"/>
      <c r="W61" s="32"/>
      <c r="Y61" s="41"/>
      <c r="AB61" s="32"/>
      <c r="AE61" s="41"/>
      <c r="AF61" s="45"/>
    </row>
    <row r="62" spans="11:39" ht="12" customHeight="1" x14ac:dyDescent="0.2">
      <c r="R62" s="32"/>
      <c r="W62" s="32"/>
      <c r="Y62" s="41"/>
      <c r="AB62" s="32"/>
      <c r="AE62" s="32"/>
      <c r="AF62" s="45"/>
    </row>
    <row r="63" spans="11:39" ht="12" customHeight="1" x14ac:dyDescent="0.2">
      <c r="K63" s="32"/>
      <c r="L63" s="32"/>
      <c r="R63" s="32"/>
      <c r="W63" s="32"/>
      <c r="Y63" s="41"/>
      <c r="AB63" s="32"/>
      <c r="AE63" s="41"/>
      <c r="AF63" s="45"/>
    </row>
    <row r="64" spans="11:39" ht="12" customHeight="1" x14ac:dyDescent="0.2">
      <c r="R64" s="32"/>
      <c r="W64" s="32"/>
      <c r="Y64" s="41"/>
      <c r="AB64" s="32"/>
      <c r="AE64" s="32"/>
      <c r="AF64" s="45"/>
    </row>
    <row r="65" spans="11:32" ht="12" customHeight="1" x14ac:dyDescent="0.2">
      <c r="K65" s="32"/>
      <c r="L65" s="32"/>
      <c r="R65" s="32"/>
      <c r="W65" s="32"/>
      <c r="Y65" s="41"/>
      <c r="AB65" s="32"/>
      <c r="AE65" s="41"/>
      <c r="AF65" s="45"/>
    </row>
    <row r="66" spans="11:32" ht="12" customHeight="1" x14ac:dyDescent="0.2">
      <c r="R66" s="32"/>
      <c r="W66" s="32"/>
      <c r="Y66" s="41"/>
      <c r="AB66" s="32"/>
      <c r="AE66" s="32"/>
      <c r="AF66" s="45"/>
    </row>
    <row r="67" spans="11:32" ht="12" customHeight="1" x14ac:dyDescent="0.2">
      <c r="K67" s="32"/>
      <c r="L67" s="32"/>
      <c r="R67" s="32"/>
      <c r="W67" s="32"/>
      <c r="Y67" s="41"/>
      <c r="AB67" s="32"/>
      <c r="AE67" s="41"/>
      <c r="AF67" s="45"/>
    </row>
    <row r="68" spans="11:32" ht="12" customHeight="1" x14ac:dyDescent="0.2">
      <c r="R68" s="32"/>
      <c r="W68" s="32"/>
      <c r="Y68" s="41"/>
      <c r="AB68" s="32"/>
      <c r="AE68" s="32"/>
      <c r="AF68" s="45"/>
    </row>
    <row r="69" spans="11:32" ht="12" customHeight="1" x14ac:dyDescent="0.2">
      <c r="K69" s="32"/>
      <c r="L69" s="32"/>
      <c r="R69" s="32"/>
      <c r="W69" s="32"/>
      <c r="Y69" s="41"/>
      <c r="AB69" s="32"/>
      <c r="AE69" s="41"/>
      <c r="AF69" s="45"/>
    </row>
    <row r="70" spans="11:32" ht="12" customHeight="1" x14ac:dyDescent="0.2">
      <c r="R70" s="32"/>
      <c r="W70" s="32"/>
      <c r="Y70" s="41"/>
      <c r="AB70" s="32"/>
      <c r="AE70" s="32"/>
      <c r="AF70" s="45"/>
    </row>
    <row r="71" spans="11:32" ht="12" customHeight="1" x14ac:dyDescent="0.2">
      <c r="K71" s="32"/>
      <c r="L71" s="32"/>
      <c r="R71" s="32"/>
      <c r="W71" s="32"/>
      <c r="Y71" s="41"/>
      <c r="AB71" s="32"/>
      <c r="AE71" s="41"/>
      <c r="AF71" s="45"/>
    </row>
    <row r="72" spans="11:32" ht="12" customHeight="1" x14ac:dyDescent="0.2">
      <c r="R72" s="32"/>
      <c r="W72" s="32"/>
      <c r="Y72" s="41"/>
      <c r="AB72" s="32"/>
      <c r="AE72" s="32"/>
      <c r="AF72" s="45"/>
    </row>
    <row r="73" spans="11:32" ht="12" customHeight="1" x14ac:dyDescent="0.2">
      <c r="K73" s="32"/>
      <c r="L73" s="32"/>
      <c r="R73" s="32"/>
      <c r="W73" s="32"/>
      <c r="Y73" s="41"/>
      <c r="AB73" s="32"/>
      <c r="AE73" s="41"/>
      <c r="AF73" s="45"/>
    </row>
    <row r="74" spans="11:32" ht="12" customHeight="1" x14ac:dyDescent="0.2">
      <c r="R74" s="32"/>
      <c r="W74" s="32"/>
      <c r="Y74" s="41"/>
      <c r="AB74" s="32"/>
      <c r="AE74" s="32"/>
      <c r="AF74" s="45"/>
    </row>
    <row r="75" spans="11:32" ht="12" customHeight="1" x14ac:dyDescent="0.2">
      <c r="K75" s="32"/>
      <c r="L75" s="32"/>
      <c r="R75" s="32"/>
      <c r="W75" s="32"/>
      <c r="Y75" s="41"/>
      <c r="AB75" s="32"/>
      <c r="AE75" s="41"/>
      <c r="AF75" s="45"/>
    </row>
    <row r="76" spans="11:32" ht="12" customHeight="1" x14ac:dyDescent="0.2">
      <c r="R76" s="32"/>
      <c r="W76" s="32"/>
      <c r="Y76" s="41"/>
      <c r="AB76" s="32"/>
      <c r="AE76" s="32"/>
      <c r="AF76" s="45"/>
    </row>
    <row r="77" spans="11:32" ht="12" customHeight="1" x14ac:dyDescent="0.2">
      <c r="K77" s="32"/>
      <c r="L77" s="32"/>
      <c r="R77" s="32"/>
      <c r="W77" s="32"/>
      <c r="Y77" s="41"/>
      <c r="AB77" s="32"/>
      <c r="AE77" s="41"/>
      <c r="AF77" s="45"/>
    </row>
    <row r="78" spans="11:32" ht="12" customHeight="1" x14ac:dyDescent="0.2">
      <c r="W78" s="32"/>
      <c r="Y78" s="41"/>
      <c r="AB78" s="32"/>
      <c r="AE78" s="32"/>
      <c r="AF78" s="45"/>
    </row>
    <row r="79" spans="11:32" ht="12" customHeight="1" x14ac:dyDescent="0.2">
      <c r="K79" s="32"/>
      <c r="L79" s="32"/>
      <c r="W79" s="32"/>
      <c r="Y79" s="41"/>
      <c r="AE79" s="41"/>
      <c r="AF79" s="45"/>
    </row>
    <row r="80" spans="11:32" ht="12" customHeight="1" x14ac:dyDescent="0.2">
      <c r="W80" s="32"/>
      <c r="Y80" s="41"/>
      <c r="AE80" s="32"/>
      <c r="AF80" s="45"/>
    </row>
    <row r="81" spans="11:32" ht="12" customHeight="1" x14ac:dyDescent="0.2">
      <c r="K81" s="32"/>
      <c r="L81" s="32"/>
      <c r="W81" s="32"/>
      <c r="Y81" s="41"/>
      <c r="AE81" s="41"/>
      <c r="AF81" s="45"/>
    </row>
    <row r="82" spans="11:32" ht="12" customHeight="1" x14ac:dyDescent="0.2">
      <c r="W82" s="32"/>
      <c r="Y82" s="41"/>
      <c r="AE82" s="32"/>
      <c r="AF82" s="45"/>
    </row>
    <row r="83" spans="11:32" ht="12" customHeight="1" x14ac:dyDescent="0.2">
      <c r="K83" s="32"/>
      <c r="L83" s="32"/>
      <c r="W83" s="32"/>
      <c r="Y83" s="41"/>
      <c r="AE83" s="41"/>
      <c r="AF83" s="45"/>
    </row>
    <row r="84" spans="11:32" ht="12" customHeight="1" x14ac:dyDescent="0.2">
      <c r="W84" s="32"/>
      <c r="Y84" s="41"/>
      <c r="AE84" s="32"/>
      <c r="AF84" s="45"/>
    </row>
    <row r="85" spans="11:32" ht="12" customHeight="1" x14ac:dyDescent="0.2">
      <c r="K85" s="32"/>
      <c r="L85" s="32"/>
      <c r="W85" s="32"/>
      <c r="Y85" s="41"/>
      <c r="AE85" s="41"/>
      <c r="AF85" s="45"/>
    </row>
    <row r="87" spans="11:32" ht="12" customHeight="1" x14ac:dyDescent="0.2">
      <c r="K87" s="32"/>
      <c r="L87" s="32"/>
    </row>
  </sheetData>
  <conditionalFormatting sqref="AD46 AD48 AD50 AD52">
    <cfRule type="expression" dxfId="220" priority="248">
      <formula>MOD(ROW(),2)=1</formula>
    </cfRule>
  </conditionalFormatting>
  <conditionalFormatting sqref="Y52">
    <cfRule type="expression" dxfId="219" priority="186">
      <formula>MOD(ROW(),2)=1</formula>
    </cfRule>
  </conditionalFormatting>
  <conditionalFormatting sqref="Y56">
    <cfRule type="expression" dxfId="218" priority="185">
      <formula>MOD(ROW(),2)=1</formula>
    </cfRule>
  </conditionalFormatting>
  <conditionalFormatting sqref="Y60">
    <cfRule type="expression" dxfId="217" priority="184">
      <formula>MOD(ROW(),2)=1</formula>
    </cfRule>
  </conditionalFormatting>
  <conditionalFormatting sqref="Y64">
    <cfRule type="expression" dxfId="216" priority="183">
      <formula>MOD(ROW(),2)=1</formula>
    </cfRule>
  </conditionalFormatting>
  <conditionalFormatting sqref="Y68">
    <cfRule type="expression" dxfId="215" priority="182">
      <formula>MOD(ROW(),2)=1</formula>
    </cfRule>
  </conditionalFormatting>
  <conditionalFormatting sqref="Y72">
    <cfRule type="expression" dxfId="214" priority="181">
      <formula>MOD(ROW(),2)=1</formula>
    </cfRule>
  </conditionalFormatting>
  <conditionalFormatting sqref="Y76">
    <cfRule type="expression" dxfId="213" priority="180">
      <formula>MOD(ROW(),2)=1</formula>
    </cfRule>
  </conditionalFormatting>
  <conditionalFormatting sqref="Y80">
    <cfRule type="expression" dxfId="212" priority="179">
      <formula>MOD(ROW(),2)=1</formula>
    </cfRule>
  </conditionalFormatting>
  <conditionalFormatting sqref="Y84">
    <cfRule type="expression" dxfId="211" priority="178">
      <formula>MOD(ROW(),2)=1</formula>
    </cfRule>
  </conditionalFormatting>
  <conditionalFormatting sqref="W52">
    <cfRule type="expression" dxfId="210" priority="116">
      <formula>MOD(ROW(),2)=1</formula>
    </cfRule>
  </conditionalFormatting>
  <conditionalFormatting sqref="W56">
    <cfRule type="expression" dxfId="209" priority="115">
      <formula>MOD(ROW(),2)=1</formula>
    </cfRule>
  </conditionalFormatting>
  <conditionalFormatting sqref="W60">
    <cfRule type="expression" dxfId="208" priority="114">
      <formula>MOD(ROW(),2)=1</formula>
    </cfRule>
  </conditionalFormatting>
  <conditionalFormatting sqref="W64">
    <cfRule type="expression" dxfId="207" priority="113">
      <formula>MOD(ROW(),2)=1</formula>
    </cfRule>
  </conditionalFormatting>
  <conditionalFormatting sqref="W68">
    <cfRule type="expression" dxfId="206" priority="112">
      <formula>MOD(ROW(),2)=1</formula>
    </cfRule>
  </conditionalFormatting>
  <conditionalFormatting sqref="W72">
    <cfRule type="expression" dxfId="205" priority="111">
      <formula>MOD(ROW(),2)=1</formula>
    </cfRule>
  </conditionalFormatting>
  <conditionalFormatting sqref="W76">
    <cfRule type="expression" dxfId="204" priority="110">
      <formula>MOD(ROW(),2)=1</formula>
    </cfRule>
  </conditionalFormatting>
  <conditionalFormatting sqref="W80">
    <cfRule type="expression" dxfId="203" priority="109">
      <formula>MOD(ROW(),2)=1</formula>
    </cfRule>
  </conditionalFormatting>
  <conditionalFormatting sqref="W84">
    <cfRule type="expression" dxfId="202" priority="108">
      <formula>MOD(ROW(),2)=1</formula>
    </cfRule>
  </conditionalFormatting>
  <conditionalFormatting sqref="AC6 AC18 AC20 AC26 AC28 AC38 AC40 AC42 AC44 AG6 AG20 AG18 AG28 AG26 AG44 AG42 AG40 AG38">
    <cfRule type="expression" dxfId="201" priority="49">
      <formula>MOD(ROW(),2)=1</formula>
    </cfRule>
  </conditionalFormatting>
  <conditionalFormatting sqref="AC14 AG14">
    <cfRule type="expression" dxfId="200" priority="48">
      <formula>MOD(ROW(),2)=1</formula>
    </cfRule>
  </conditionalFormatting>
  <conditionalFormatting sqref="AC30 AG30">
    <cfRule type="expression" dxfId="199" priority="47">
      <formula>MOD(ROW(),2)=1</formula>
    </cfRule>
  </conditionalFormatting>
  <conditionalFormatting sqref="AD8 AD10 AD12">
    <cfRule type="expression" dxfId="198" priority="45">
      <formula>MOD(ROW(),2)=1</formula>
    </cfRule>
  </conditionalFormatting>
  <conditionalFormatting sqref="Y8">
    <cfRule type="expression" dxfId="197" priority="44">
      <formula>MOD(ROW(),2)=1</formula>
    </cfRule>
  </conditionalFormatting>
  <conditionalFormatting sqref="Y12">
    <cfRule type="expression" dxfId="196" priority="43">
      <formula>MOD(ROW(),2)=1</formula>
    </cfRule>
  </conditionalFormatting>
  <conditionalFormatting sqref="Y18">
    <cfRule type="expression" dxfId="195" priority="42">
      <formula>MOD(ROW(),2)=1</formula>
    </cfRule>
  </conditionalFormatting>
  <conditionalFormatting sqref="U46">
    <cfRule type="expression" dxfId="194" priority="50">
      <formula>MOD(ROW(),2)=1</formula>
    </cfRule>
  </conditionalFormatting>
  <conditionalFormatting sqref="AD6">
    <cfRule type="expression" dxfId="193" priority="46">
      <formula>MOD(ROW(),2)=1</formula>
    </cfRule>
  </conditionalFormatting>
  <conditionalFormatting sqref="Y28">
    <cfRule type="expression" dxfId="192" priority="41">
      <formula>MOD(ROW(),2)=1</formula>
    </cfRule>
  </conditionalFormatting>
  <conditionalFormatting sqref="Y38">
    <cfRule type="expression" dxfId="191" priority="40">
      <formula>MOD(ROW(),2)=1</formula>
    </cfRule>
  </conditionalFormatting>
  <conditionalFormatting sqref="Y42">
    <cfRule type="expression" dxfId="190" priority="39">
      <formula>MOD(ROW(),2)=1</formula>
    </cfRule>
  </conditionalFormatting>
  <conditionalFormatting sqref="W8">
    <cfRule type="expression" dxfId="189" priority="38">
      <formula>MOD(ROW(),2)=1</formula>
    </cfRule>
  </conditionalFormatting>
  <conditionalFormatting sqref="W12">
    <cfRule type="expression" dxfId="188" priority="37">
      <formula>MOD(ROW(),2)=1</formula>
    </cfRule>
  </conditionalFormatting>
  <conditionalFormatting sqref="W18">
    <cfRule type="expression" dxfId="187" priority="36">
      <formula>MOD(ROW(),2)=1</formula>
    </cfRule>
  </conditionalFormatting>
  <conditionalFormatting sqref="W28">
    <cfRule type="expression" dxfId="186" priority="35">
      <formula>MOD(ROW(),2)=1</formula>
    </cfRule>
  </conditionalFormatting>
  <conditionalFormatting sqref="W38">
    <cfRule type="expression" dxfId="185" priority="34">
      <formula>MOD(ROW(),2)=1</formula>
    </cfRule>
  </conditionalFormatting>
  <conditionalFormatting sqref="W42">
    <cfRule type="expression" dxfId="184" priority="33">
      <formula>MOD(ROW(),2)=1</formula>
    </cfRule>
  </conditionalFormatting>
  <conditionalFormatting sqref="U20 U18">
    <cfRule type="expression" dxfId="183" priority="29">
      <formula>MOD(ROW(),2)=1</formula>
    </cfRule>
  </conditionalFormatting>
  <conditionalFormatting sqref="U6">
    <cfRule type="expression" dxfId="182" priority="32">
      <formula>MOD(ROW(),2)=1</formula>
    </cfRule>
  </conditionalFormatting>
  <conditionalFormatting sqref="U8 U10">
    <cfRule type="expression" dxfId="181" priority="31">
      <formula>MOD(ROW(),2)=1</formula>
    </cfRule>
  </conditionalFormatting>
  <conditionalFormatting sqref="U14">
    <cfRule type="expression" dxfId="180" priority="30">
      <formula>MOD(ROW(),2)=1</formula>
    </cfRule>
  </conditionalFormatting>
  <conditionalFormatting sqref="U28 U30 U26">
    <cfRule type="expression" dxfId="179" priority="28">
      <formula>MOD(ROW(),2)=1</formula>
    </cfRule>
  </conditionalFormatting>
  <conditionalFormatting sqref="U38 U40">
    <cfRule type="expression" dxfId="178" priority="27">
      <formula>MOD(ROW(),2)=1</formula>
    </cfRule>
  </conditionalFormatting>
  <conditionalFormatting sqref="U44">
    <cfRule type="expression" dxfId="177" priority="26">
      <formula>MOD(ROW(),2)=1</formula>
    </cfRule>
  </conditionalFormatting>
  <conditionalFormatting sqref="AB2:AC2 AB4:AC4 AG4 AG2 E22:I22">
    <cfRule type="expression" dxfId="176" priority="25">
      <formula>MOD(ROW(),2)=1</formula>
    </cfRule>
  </conditionalFormatting>
  <conditionalFormatting sqref="Y4">
    <cfRule type="expression" dxfId="175" priority="24">
      <formula>MOD(ROW(),2)=1</formula>
    </cfRule>
  </conditionalFormatting>
  <conditionalFormatting sqref="W4">
    <cfRule type="expression" dxfId="174" priority="23">
      <formula>MOD(ROW(),2)=1</formula>
    </cfRule>
  </conditionalFormatting>
  <conditionalFormatting sqref="W22">
    <cfRule type="expression" dxfId="173" priority="16">
      <formula>MOD(ROW(),2)=1</formula>
    </cfRule>
  </conditionalFormatting>
  <conditionalFormatting sqref="J22">
    <cfRule type="expression" dxfId="172" priority="19">
      <formula>MOD(ROW(),2)=1</formula>
    </cfRule>
  </conditionalFormatting>
  <conditionalFormatting sqref="AD22">
    <cfRule type="expression" dxfId="171" priority="18">
      <formula>MOD(ROW(),2)=1</formula>
    </cfRule>
  </conditionalFormatting>
  <conditionalFormatting sqref="Y22">
    <cfRule type="expression" dxfId="170" priority="17">
      <formula>MOD(ROW(),2)=1</formula>
    </cfRule>
  </conditionalFormatting>
  <conditionalFormatting sqref="AC32 AC34 AC36 AG36 AG34 AG32">
    <cfRule type="expression" dxfId="169" priority="15">
      <formula>MOD(ROW(),2)=1</formula>
    </cfRule>
  </conditionalFormatting>
  <conditionalFormatting sqref="AD32 AD34 AD36">
    <cfRule type="expression" dxfId="168" priority="14">
      <formula>MOD(ROW(),2)=1</formula>
    </cfRule>
  </conditionalFormatting>
  <conditionalFormatting sqref="Y32">
    <cfRule type="expression" dxfId="167" priority="13">
      <formula>MOD(ROW(),2)=1</formula>
    </cfRule>
  </conditionalFormatting>
  <conditionalFormatting sqref="Y36">
    <cfRule type="expression" dxfId="166" priority="12">
      <formula>MOD(ROW(),2)=1</formula>
    </cfRule>
  </conditionalFormatting>
  <conditionalFormatting sqref="W32">
    <cfRule type="expression" dxfId="165" priority="11">
      <formula>MOD(ROW(),2)=1</formula>
    </cfRule>
  </conditionalFormatting>
  <conditionalFormatting sqref="W36">
    <cfRule type="expression" dxfId="164" priority="10">
      <formula>MOD(ROW(),2)=1</formula>
    </cfRule>
  </conditionalFormatting>
  <conditionalFormatting sqref="U2">
    <cfRule type="expression" dxfId="163" priority="9">
      <formula>MOD(ROW(),2)=1</formula>
    </cfRule>
  </conditionalFormatting>
  <conditionalFormatting sqref="U4">
    <cfRule type="expression" dxfId="162" priority="8">
      <formula>MOD(ROW(),2)=1</formula>
    </cfRule>
  </conditionalFormatting>
  <conditionalFormatting sqref="U22">
    <cfRule type="expression" dxfId="161" priority="4">
      <formula>MOD(ROW(),2)=1</formula>
    </cfRule>
  </conditionalFormatting>
  <conditionalFormatting sqref="U32">
    <cfRule type="expression" dxfId="160" priority="3">
      <formula>MOD(ROW(),2)=1</formula>
    </cfRule>
  </conditionalFormatting>
  <conditionalFormatting sqref="U34">
    <cfRule type="expression" dxfId="159" priority="2">
      <formula>MOD(ROW(),2)=1</formula>
    </cfRule>
  </conditionalFormatting>
  <conditionalFormatting sqref="U36">
    <cfRule type="expression" dxfId="158" priority="1">
      <formula>MOD(ROW(),2)=1</formula>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189"/>
  <sheetViews>
    <sheetView workbookViewId="0"/>
  </sheetViews>
  <sheetFormatPr defaultRowHeight="15" x14ac:dyDescent="0.25"/>
  <cols>
    <col min="3" max="3" width="9.140625" style="72"/>
  </cols>
  <sheetData>
    <row r="3" spans="1:4" x14ac:dyDescent="0.25">
      <c r="A3" t="str">
        <f>'t-LTM Single'!B3</f>
        <v>Barkowitz, P., &amp; Brigham, J. C. (1982). Recognition of Faces: Own-Race Bias, Incentive, and Time Delay. Journal of Social Psychology, 12(4), 255-268.</v>
      </c>
      <c r="B3">
        <f>'t-LTM Single'!AA3</f>
        <v>604800</v>
      </c>
      <c r="C3" s="73">
        <f>B3/(60*60*24)</f>
        <v>7</v>
      </c>
      <c r="D3" s="35">
        <f>'t-LTM Single'!AM3</f>
        <v>-1.6564050588993136E-2</v>
      </c>
    </row>
    <row r="5" spans="1:4" x14ac:dyDescent="0.25">
      <c r="A5" t="str">
        <f>'t-LTM Single'!B5</f>
        <v>Barkowitz, P., &amp; Brigham, J. C. (1982). Recognition of Faces: Own-Race Bias, Incentive, and Time Delay. Journal of Social Psychology, 12(4), 255-268.</v>
      </c>
      <c r="B5">
        <f>'t-LTM Single'!AA5</f>
        <v>604800</v>
      </c>
      <c r="C5" s="73">
        <f>B5/(60*60*24)</f>
        <v>7</v>
      </c>
      <c r="D5" s="35">
        <f>'t-LTM Single'!AM5</f>
        <v>-5.5457948701854352E-2</v>
      </c>
    </row>
    <row r="7" spans="1:4" x14ac:dyDescent="0.25">
      <c r="A7" t="str">
        <f>'t-LTM Single'!B9</f>
        <v>Davidson, D. (1994). Recognition and recall of irrelevant and interruptive atypical actions in script-based stories. Journal of Memory and Language, 33(6), 757-775.</v>
      </c>
      <c r="B7">
        <f>'t-LTM Single'!AA9</f>
        <v>604800</v>
      </c>
      <c r="C7" s="73">
        <f>B7/(60*60*24)</f>
        <v>7</v>
      </c>
      <c r="D7" s="35">
        <f>'t-LTM Single'!AM9</f>
        <v>-0.1863050867167925</v>
      </c>
    </row>
    <row r="9" spans="1:4" x14ac:dyDescent="0.25">
      <c r="A9" t="str">
        <f>'t-LTM Single'!B11</f>
        <v>Davidson, D. (1994). Recognition and recall of irrelevant and interruptive atypical actions in script-based stories. Journal of Memory and Language, 33(6), 757-775.</v>
      </c>
      <c r="B9">
        <f>'t-LTM Single'!AA11</f>
        <v>604800</v>
      </c>
      <c r="C9" s="73">
        <f>B9/(60*60*24)</f>
        <v>7</v>
      </c>
      <c r="D9" s="35">
        <f>'t-LTM Single'!AM11</f>
        <v>-0.12398739227197249</v>
      </c>
    </row>
    <row r="11" spans="1:4" x14ac:dyDescent="0.25">
      <c r="A11" t="str">
        <f>'t-LTM Single'!B13</f>
        <v>Davidson, D. (1994). Recognition and recall of irrelevant and interruptive atypical actions in script-based stories. Journal of Memory and Language, 33(6), 757-775.</v>
      </c>
      <c r="B11">
        <f>'t-LTM Single'!AA13</f>
        <v>604800</v>
      </c>
      <c r="C11" s="73">
        <f>B11/(60*60*24)</f>
        <v>7</v>
      </c>
      <c r="D11" s="35">
        <f>'t-LTM Single'!AM13</f>
        <v>-0.14703792681329769</v>
      </c>
    </row>
    <row r="13" spans="1:4" x14ac:dyDescent="0.25">
      <c r="A13" t="str">
        <f>'t-LTM Single'!B15</f>
        <v>Hashtroudi, S., Ferguson, S., Rappold, V., Chrosniak, L., &amp; Roediger, Henry L. (1988). Data-Driven and Conceptually Driven Processes in Partial-Word Identification and Recognition. Journal of Experimental Psychology: Learning, Memory, and Cognition, 14(4), 749-757.</v>
      </c>
      <c r="B13">
        <f>'t-LTM Single'!AA15</f>
        <v>86400</v>
      </c>
      <c r="C13" s="73">
        <f>B13/(60*60*24)</f>
        <v>1</v>
      </c>
      <c r="D13" s="35">
        <f>'t-LTM Single'!AM15</f>
        <v>-0.11311780708734026</v>
      </c>
    </row>
    <row r="15" spans="1:4" x14ac:dyDescent="0.25">
      <c r="A15" t="str">
        <f>'t-LTM Single'!B17</f>
        <v>Levin, H. S., High, W. M., &amp; Eisenberg, H. M. (1988). Learning and forgetting during posttraumatic amnesia in head injured patients. Journal of Neurology, Neurosurgery &amp; Psychiatry, 51(1), 14-20.</v>
      </c>
      <c r="B15">
        <f>'t-LTM Single'!AA17</f>
        <v>115200</v>
      </c>
      <c r="C15" s="73">
        <f>B15/(60*60*24)</f>
        <v>1.3333333333333333</v>
      </c>
      <c r="D15" s="35">
        <f>'t-LTM Single'!AM17</f>
        <v>-8.2979269088313309E-2</v>
      </c>
    </row>
    <row r="17" spans="1:8" x14ac:dyDescent="0.25">
      <c r="A17" t="str">
        <f>'t-LTM Single'!B19</f>
        <v xml:space="preserve">Mammarella, N., Farifield, B., &amp; Cornoldi, C. (2007). Reality monitoring and resistance to forgetting under short delay intervals. The Quarterly Journal of Experimental Psychology, 60(4), 551-570.
</v>
      </c>
      <c r="B17">
        <f>'t-LTM Single'!AA19</f>
        <v>172800</v>
      </c>
      <c r="C17" s="73">
        <f>B17/(60*60*24)</f>
        <v>2</v>
      </c>
      <c r="D17" s="35">
        <f>'t-LTM Single'!AM19</f>
        <v>-0.16047384338199436</v>
      </c>
    </row>
    <row r="18" spans="1:8" x14ac:dyDescent="0.25">
      <c r="G18" s="67">
        <f>AVERAGE(D3:D43)</f>
        <v>-0.13341766526490592</v>
      </c>
      <c r="H18" s="66">
        <f xml:space="preserve"> STDEV(D3:D43)/SQRT(COUNT(D3:D43))</f>
        <v>1.435161332816999E-2</v>
      </c>
    </row>
    <row r="19" spans="1:8" x14ac:dyDescent="0.25">
      <c r="A19" t="str">
        <f>'t-LTM Single'!B21</f>
        <v xml:space="preserve">Mammarella, N., Farifield, B., &amp; Cornoldi, C. (2007). Reality monitoring and resistance to forgetting under short delay intervals. The Quarterly Journal of Experimental Psychology, 60(4), 551-570.
</v>
      </c>
      <c r="B19">
        <f>'t-LTM Single'!AA21</f>
        <v>172800</v>
      </c>
      <c r="C19" s="73">
        <f>B19/(60*60*24)</f>
        <v>2</v>
      </c>
      <c r="D19" s="35">
        <f>'t-LTM Single'!AM21</f>
        <v>-0.19804254861197892</v>
      </c>
    </row>
    <row r="21" spans="1:8" x14ac:dyDescent="0.25">
      <c r="A21" t="str">
        <f>'t-LTM Single'!B23</f>
        <v>Mayes, A. R., Meudell, P. R., Mann, D., &amp; Pickering, A. (1988). Location of lesions in Korsakoff's syndrome: neuropsychological and neuropathological data on two patients. Cortex, 24(3), 367-388.</v>
      </c>
      <c r="B21">
        <f>'t-LTM Single'!AA23</f>
        <v>86400</v>
      </c>
      <c r="C21" s="73">
        <f>B21/(60*60*24)</f>
        <v>1</v>
      </c>
      <c r="D21" s="35">
        <f>'t-LTM Single'!AM23</f>
        <v>-0.10376636196991192</v>
      </c>
    </row>
    <row r="23" spans="1:8" x14ac:dyDescent="0.25">
      <c r="A23" t="str">
        <f>'t-LTM Single'!B25</f>
        <v>McKee, R. D., &amp; Squire, L. R. (1992). Equivalent forgetting rates in long-term memory for diencephalic and medial temporal lobe amnesia. Journal of Neuroscience, 12(10), 3765-3772.</v>
      </c>
      <c r="B23">
        <f>'t-LTM Single'!AA25</f>
        <v>111600</v>
      </c>
      <c r="C23" s="73">
        <f>B23/(60*60*24)</f>
        <v>1.2916666666666667</v>
      </c>
      <c r="D23" s="35">
        <f>'t-LTM Single'!AM25</f>
        <v>-0.17719780295865997</v>
      </c>
    </row>
    <row r="25" spans="1:8" x14ac:dyDescent="0.25">
      <c r="A25" t="str">
        <f>'t-LTM Single'!B27</f>
        <v>Thapar, A., &amp; McDermott, K. (2001). False recall and false recognition induced by presentation of associated words: Effects of retention interval and level of processing. Memory &amp; Cognition, 29(3), 424-432.</v>
      </c>
      <c r="B25">
        <f>'t-LTM Single'!AA27</f>
        <v>604800</v>
      </c>
      <c r="C25" s="73">
        <f>B25/(60*60*24)</f>
        <v>7</v>
      </c>
      <c r="D25" s="35">
        <f>'t-LTM Single'!AM27</f>
        <v>-0.13684843067023847</v>
      </c>
    </row>
    <row r="27" spans="1:8" x14ac:dyDescent="0.25">
      <c r="A27" t="str">
        <f>'t-LTM Single'!B29</f>
        <v>Thapar, A., &amp; McDermott, K. (2001). False recall and false recognition induced by presentation of associated words: Effects of retention interval and level of processing. Memory &amp; Cognition, 29(3), 424-432.</v>
      </c>
      <c r="B27">
        <f>'t-LTM Single'!AA29</f>
        <v>604800</v>
      </c>
      <c r="C27" s="73">
        <f>B27/(60*60*24)</f>
        <v>7</v>
      </c>
      <c r="D27" s="35">
        <f>'t-LTM Single'!AM29</f>
        <v>-0.13133275041199524</v>
      </c>
    </row>
    <row r="29" spans="1:8" x14ac:dyDescent="0.25">
      <c r="A29" t="str">
        <f>'t-LTM Single'!B31</f>
        <v>Thapar, A., &amp; McDermott, K. (2001). False recall and false recognition induced by presentation of associated words: Effects of retention interval and level of processing. Memory &amp; Cognition, 29(3), 424-432.</v>
      </c>
      <c r="B29">
        <f>'t-LTM Single'!AA31</f>
        <v>604800</v>
      </c>
      <c r="C29" s="73">
        <f>B29/(60*60*24)</f>
        <v>7</v>
      </c>
      <c r="D29" s="35">
        <f>'t-LTM Single'!AM31</f>
        <v>-0.14364326742087472</v>
      </c>
    </row>
    <row r="30" spans="1:8" x14ac:dyDescent="0.25">
      <c r="C30" s="73"/>
      <c r="D30" s="35"/>
    </row>
    <row r="31" spans="1:8" x14ac:dyDescent="0.25">
      <c r="A31" t="str">
        <f>'t-LTM Single'!B33</f>
        <v>Wickelgren, W. (1972). Trace resistance and the decay of long-term memory. Journal of Mathematical Psychology, 9(4), 418-455.</v>
      </c>
      <c r="B31">
        <f>'t-LTM Single'!AA33</f>
        <v>50400</v>
      </c>
      <c r="C31" s="73">
        <f>B31/(60*60*24)</f>
        <v>0.58333333333333337</v>
      </c>
      <c r="D31" s="35">
        <f>'t-LTM Single'!AM33</f>
        <v>-0.21069510442248982</v>
      </c>
    </row>
    <row r="32" spans="1:8" x14ac:dyDescent="0.25">
      <c r="C32" s="73"/>
      <c r="D32" s="35"/>
    </row>
    <row r="33" spans="1:4" x14ac:dyDescent="0.25">
      <c r="A33" t="str">
        <f>'t-LTM Single'!B35</f>
        <v>Wickelgren, W. (1972). Trace resistance and the decay of long-term memory. Journal of Mathematical Psychology, 9(4), 418-455.</v>
      </c>
      <c r="B33">
        <f>'t-LTM Single'!AA35</f>
        <v>50400</v>
      </c>
      <c r="C33" s="73">
        <f>B33/(60*60*24)</f>
        <v>0.58333333333333337</v>
      </c>
      <c r="D33" s="35">
        <f>'t-LTM Single'!AM35</f>
        <v>-0.24023260219154294</v>
      </c>
    </row>
    <row r="34" spans="1:4" x14ac:dyDescent="0.25">
      <c r="C34" s="73"/>
      <c r="D34" s="35"/>
    </row>
    <row r="35" spans="1:4" x14ac:dyDescent="0.25">
      <c r="A35" t="str">
        <f>'t-LTM Single'!B37</f>
        <v>Wickelgren, W. (1972). Trace resistance and the decay of long-term memory. Journal of Mathematical Psychology, 9(4), 418-455.</v>
      </c>
      <c r="B35">
        <f>'t-LTM Single'!AA37</f>
        <v>50400</v>
      </c>
      <c r="C35" s="73">
        <f>B35/(60*60*24)</f>
        <v>0.58333333333333337</v>
      </c>
      <c r="D35" s="35">
        <f>'t-LTM Single'!AM37</f>
        <v>-0.25798424290738398</v>
      </c>
    </row>
    <row r="36" spans="1:4" x14ac:dyDescent="0.25">
      <c r="C36" s="73"/>
      <c r="D36" s="35"/>
    </row>
    <row r="37" spans="1:4" x14ac:dyDescent="0.25">
      <c r="A37" t="str">
        <f>'t-LTM Single'!B39</f>
        <v>Wylie, M. (1926). Recognition of Chinese Symbols. The American Journal of Psychology, 37(2), 224-232.</v>
      </c>
      <c r="B37">
        <f>'t-LTM Single'!AA39</f>
        <v>172800</v>
      </c>
      <c r="C37" s="73">
        <f>B37/(60*60*24)</f>
        <v>2</v>
      </c>
      <c r="D37" s="35">
        <f>'t-LTM Single'!AM39</f>
        <v>-9.9558797664040813E-2</v>
      </c>
    </row>
    <row r="38" spans="1:4" x14ac:dyDescent="0.25">
      <c r="C38" s="73"/>
      <c r="D38" s="35"/>
    </row>
    <row r="39" spans="1:4" x14ac:dyDescent="0.25">
      <c r="A39" t="str">
        <f>'t-LTM Single'!B41</f>
        <v>Wylie, M. (1926). Recognition of Chinese Symbols. The American Journal of Psychology, 37(2), 224-232.</v>
      </c>
      <c r="B39">
        <f>'t-LTM Single'!AA41</f>
        <v>172800</v>
      </c>
      <c r="C39" s="73">
        <f>B39/(60*60*24)</f>
        <v>2</v>
      </c>
      <c r="D39" s="35">
        <f>'t-LTM Single'!AM41</f>
        <v>-6.0025416092165336E-2</v>
      </c>
    </row>
    <row r="40" spans="1:4" x14ac:dyDescent="0.25">
      <c r="C40" s="73"/>
      <c r="D40" s="35"/>
    </row>
    <row r="41" spans="1:4" x14ac:dyDescent="0.25">
      <c r="A41" t="str">
        <f>'t-LTM Single'!B43</f>
        <v>Wylie, M. (1926). Recognition of Chinese Symbols. The American Journal of Psychology, 37(2), 224-232.</v>
      </c>
      <c r="B41">
        <f>'t-LTM Single'!AA43</f>
        <v>172800</v>
      </c>
      <c r="C41" s="73">
        <f>B41/(60*60*24)</f>
        <v>2</v>
      </c>
      <c r="D41" s="35">
        <f>'t-LTM Single'!AM43</f>
        <v>-1.7407171455308845E-2</v>
      </c>
    </row>
    <row r="42" spans="1:4" x14ac:dyDescent="0.25">
      <c r="C42" s="73"/>
      <c r="D42" s="35"/>
    </row>
    <row r="43" spans="1:4" x14ac:dyDescent="0.25">
      <c r="A43" t="str">
        <f>'t-LTM Single'!B45</f>
        <v>Wylie, M. (1926). Recognition of Chinese Symbols. The American Journal of Psychology, 37(2), 224-232.</v>
      </c>
      <c r="B43">
        <f>'t-LTM Single'!AA45</f>
        <v>172800</v>
      </c>
      <c r="C43" s="73">
        <f>B43/(60*60*24)</f>
        <v>2</v>
      </c>
      <c r="D43" s="35">
        <f>'t-LTM Single'!AM45</f>
        <v>-0.13911314913587569</v>
      </c>
    </row>
    <row r="45" spans="1:4" x14ac:dyDescent="0.25">
      <c r="C45" s="73"/>
      <c r="D45" s="35"/>
    </row>
    <row r="47" spans="1:4" x14ac:dyDescent="0.25">
      <c r="C47" s="73"/>
      <c r="D47" s="35"/>
    </row>
    <row r="49" spans="3:4" x14ac:dyDescent="0.25">
      <c r="C49" s="73"/>
      <c r="D49" s="35"/>
    </row>
    <row r="51" spans="3:4" x14ac:dyDescent="0.25">
      <c r="C51" s="73"/>
      <c r="D51" s="35"/>
    </row>
    <row r="53" spans="3:4" x14ac:dyDescent="0.25">
      <c r="C53" s="73"/>
      <c r="D53" s="35"/>
    </row>
    <row r="54" spans="3:4" x14ac:dyDescent="0.25">
      <c r="C54" s="73"/>
    </row>
    <row r="55" spans="3:4" x14ac:dyDescent="0.25">
      <c r="C55" s="73"/>
      <c r="D55" s="35"/>
    </row>
    <row r="56" spans="3:4" x14ac:dyDescent="0.25">
      <c r="C56" s="73"/>
    </row>
    <row r="57" spans="3:4" x14ac:dyDescent="0.25">
      <c r="C57" s="73"/>
      <c r="D57" s="35"/>
    </row>
    <row r="58" spans="3:4" x14ac:dyDescent="0.25">
      <c r="C58" s="73"/>
    </row>
    <row r="59" spans="3:4" x14ac:dyDescent="0.25">
      <c r="C59" s="73"/>
      <c r="D59" s="35"/>
    </row>
    <row r="60" spans="3:4" x14ac:dyDescent="0.25">
      <c r="C60" s="73"/>
    </row>
    <row r="61" spans="3:4" x14ac:dyDescent="0.25">
      <c r="C61" s="73"/>
      <c r="D61" s="35"/>
    </row>
    <row r="62" spans="3:4" x14ac:dyDescent="0.25">
      <c r="C62" s="73"/>
    </row>
    <row r="63" spans="3:4" x14ac:dyDescent="0.25">
      <c r="C63" s="73"/>
      <c r="D63" s="35"/>
    </row>
    <row r="64" spans="3:4" x14ac:dyDescent="0.25">
      <c r="C64" s="73"/>
    </row>
    <row r="65" spans="3:4" x14ac:dyDescent="0.25">
      <c r="C65" s="73"/>
      <c r="D65" s="35"/>
    </row>
    <row r="66" spans="3:4" x14ac:dyDescent="0.25">
      <c r="C66" s="73"/>
    </row>
    <row r="67" spans="3:4" x14ac:dyDescent="0.25">
      <c r="C67" s="73"/>
      <c r="D67" s="35"/>
    </row>
    <row r="68" spans="3:4" x14ac:dyDescent="0.25">
      <c r="C68" s="73"/>
    </row>
    <row r="69" spans="3:4" x14ac:dyDescent="0.25">
      <c r="C69" s="73"/>
      <c r="D69" s="35"/>
    </row>
    <row r="70" spans="3:4" x14ac:dyDescent="0.25">
      <c r="C70" s="73"/>
    </row>
    <row r="71" spans="3:4" x14ac:dyDescent="0.25">
      <c r="C71" s="73"/>
      <c r="D71" s="35"/>
    </row>
    <row r="72" spans="3:4" x14ac:dyDescent="0.25">
      <c r="C72" s="73"/>
    </row>
    <row r="73" spans="3:4" x14ac:dyDescent="0.25">
      <c r="C73" s="73"/>
      <c r="D73" s="35"/>
    </row>
    <row r="74" spans="3:4" x14ac:dyDescent="0.25">
      <c r="C74" s="73"/>
    </row>
    <row r="75" spans="3:4" x14ac:dyDescent="0.25">
      <c r="C75" s="73"/>
      <c r="D75" s="35"/>
    </row>
    <row r="76" spans="3:4" x14ac:dyDescent="0.25">
      <c r="C76" s="73"/>
    </row>
    <row r="77" spans="3:4" x14ac:dyDescent="0.25">
      <c r="C77" s="73"/>
      <c r="D77" s="35"/>
    </row>
    <row r="78" spans="3:4" x14ac:dyDescent="0.25">
      <c r="C78" s="73"/>
    </row>
    <row r="79" spans="3:4" x14ac:dyDescent="0.25">
      <c r="C79" s="73"/>
      <c r="D79" s="35"/>
    </row>
    <row r="80" spans="3:4" x14ac:dyDescent="0.25">
      <c r="C80" s="73"/>
    </row>
    <row r="81" spans="3:4" x14ac:dyDescent="0.25">
      <c r="C81" s="73"/>
      <c r="D81" s="35"/>
    </row>
    <row r="82" spans="3:4" x14ac:dyDescent="0.25">
      <c r="C82" s="73"/>
    </row>
    <row r="83" spans="3:4" x14ac:dyDescent="0.25">
      <c r="C83" s="73"/>
      <c r="D83" s="35"/>
    </row>
    <row r="84" spans="3:4" x14ac:dyDescent="0.25">
      <c r="C84" s="73"/>
    </row>
    <row r="85" spans="3:4" x14ac:dyDescent="0.25">
      <c r="C85" s="73"/>
      <c r="D85" s="35"/>
    </row>
    <row r="86" spans="3:4" x14ac:dyDescent="0.25">
      <c r="C86" s="73"/>
    </row>
    <row r="87" spans="3:4" x14ac:dyDescent="0.25">
      <c r="C87" s="73"/>
      <c r="D87" s="35"/>
    </row>
    <row r="88" spans="3:4" x14ac:dyDescent="0.25">
      <c r="C88" s="73"/>
    </row>
    <row r="89" spans="3:4" x14ac:dyDescent="0.25">
      <c r="C89" s="73"/>
      <c r="D89" s="35"/>
    </row>
    <row r="90" spans="3:4" x14ac:dyDescent="0.25">
      <c r="C90" s="73"/>
    </row>
    <row r="91" spans="3:4" x14ac:dyDescent="0.25">
      <c r="C91" s="73"/>
      <c r="D91" s="35"/>
    </row>
    <row r="92" spans="3:4" x14ac:dyDescent="0.25">
      <c r="C92" s="73"/>
    </row>
    <row r="93" spans="3:4" x14ac:dyDescent="0.25">
      <c r="C93" s="73"/>
      <c r="D93" s="35"/>
    </row>
    <row r="94" spans="3:4" x14ac:dyDescent="0.25">
      <c r="C94" s="73"/>
    </row>
    <row r="95" spans="3:4" x14ac:dyDescent="0.25">
      <c r="C95" s="73"/>
      <c r="D95" s="35"/>
    </row>
    <row r="96" spans="3:4" x14ac:dyDescent="0.25">
      <c r="C96" s="73"/>
    </row>
    <row r="97" spans="3:5" x14ac:dyDescent="0.25">
      <c r="C97" s="73"/>
      <c r="D97" s="35"/>
    </row>
    <row r="98" spans="3:5" x14ac:dyDescent="0.25">
      <c r="C98" s="73"/>
    </row>
    <row r="99" spans="3:5" x14ac:dyDescent="0.25">
      <c r="C99" s="73"/>
      <c r="D99" s="35"/>
    </row>
    <row r="100" spans="3:5" x14ac:dyDescent="0.25">
      <c r="C100" s="73"/>
    </row>
    <row r="101" spans="3:5" x14ac:dyDescent="0.25">
      <c r="C101" s="73"/>
      <c r="D101" s="35"/>
    </row>
    <row r="102" spans="3:5" x14ac:dyDescent="0.25">
      <c r="C102" s="73"/>
    </row>
    <row r="103" spans="3:5" x14ac:dyDescent="0.25">
      <c r="C103" s="73"/>
      <c r="D103" s="35"/>
    </row>
    <row r="104" spans="3:5" x14ac:dyDescent="0.25">
      <c r="C104" s="73"/>
    </row>
    <row r="105" spans="3:5" x14ac:dyDescent="0.25">
      <c r="C105" s="73"/>
      <c r="D105" s="35"/>
    </row>
    <row r="106" spans="3:5" x14ac:dyDescent="0.25">
      <c r="C106" s="73"/>
    </row>
    <row r="107" spans="3:5" x14ac:dyDescent="0.25">
      <c r="C107" s="73"/>
      <c r="D107" s="35"/>
    </row>
    <row r="108" spans="3:5" x14ac:dyDescent="0.25">
      <c r="C108" s="73"/>
    </row>
    <row r="109" spans="3:5" x14ac:dyDescent="0.25">
      <c r="C109" s="73"/>
      <c r="D109" s="35"/>
      <c r="E109" s="35"/>
    </row>
    <row r="110" spans="3:5" x14ac:dyDescent="0.25">
      <c r="C110" s="73"/>
    </row>
    <row r="111" spans="3:5" x14ac:dyDescent="0.25">
      <c r="C111" s="73"/>
      <c r="D111" s="35"/>
    </row>
    <row r="112" spans="3:5" x14ac:dyDescent="0.25">
      <c r="C112" s="73"/>
    </row>
    <row r="113" spans="3:4" x14ac:dyDescent="0.25">
      <c r="C113" s="73"/>
      <c r="D113" s="35"/>
    </row>
    <row r="114" spans="3:4" x14ac:dyDescent="0.25">
      <c r="C114" s="73"/>
    </row>
    <row r="115" spans="3:4" x14ac:dyDescent="0.25">
      <c r="C115" s="73"/>
      <c r="D115" s="35"/>
    </row>
    <row r="116" spans="3:4" x14ac:dyDescent="0.25">
      <c r="C116" s="73"/>
    </row>
    <row r="117" spans="3:4" x14ac:dyDescent="0.25">
      <c r="C117" s="73"/>
      <c r="D117" s="35"/>
    </row>
    <row r="118" spans="3:4" x14ac:dyDescent="0.25">
      <c r="C118" s="73"/>
    </row>
    <row r="119" spans="3:4" x14ac:dyDescent="0.25">
      <c r="C119" s="73"/>
      <c r="D119" s="35"/>
    </row>
    <row r="120" spans="3:4" x14ac:dyDescent="0.25">
      <c r="C120" s="73"/>
    </row>
    <row r="121" spans="3:4" x14ac:dyDescent="0.25">
      <c r="C121" s="73"/>
      <c r="D121" s="35"/>
    </row>
    <row r="122" spans="3:4" x14ac:dyDescent="0.25">
      <c r="C122" s="73"/>
    </row>
    <row r="123" spans="3:4" x14ac:dyDescent="0.25">
      <c r="C123" s="73"/>
      <c r="D123" s="35"/>
    </row>
    <row r="124" spans="3:4" x14ac:dyDescent="0.25">
      <c r="C124" s="73"/>
    </row>
    <row r="125" spans="3:4" x14ac:dyDescent="0.25">
      <c r="C125" s="73"/>
      <c r="D125" s="35"/>
    </row>
    <row r="126" spans="3:4" x14ac:dyDescent="0.25">
      <c r="C126" s="73"/>
    </row>
    <row r="127" spans="3:4" x14ac:dyDescent="0.25">
      <c r="C127" s="73"/>
      <c r="D127" s="35"/>
    </row>
    <row r="128" spans="3:4" x14ac:dyDescent="0.25">
      <c r="C128" s="73"/>
    </row>
    <row r="129" spans="3:4" x14ac:dyDescent="0.25">
      <c r="C129" s="73"/>
      <c r="D129" s="35"/>
    </row>
    <row r="130" spans="3:4" x14ac:dyDescent="0.25">
      <c r="C130" s="73"/>
    </row>
    <row r="131" spans="3:4" x14ac:dyDescent="0.25">
      <c r="C131" s="73"/>
      <c r="D131" s="35"/>
    </row>
    <row r="132" spans="3:4" x14ac:dyDescent="0.25">
      <c r="C132" s="73"/>
    </row>
    <row r="133" spans="3:4" x14ac:dyDescent="0.25">
      <c r="C133" s="73"/>
      <c r="D133" s="35"/>
    </row>
    <row r="134" spans="3:4" x14ac:dyDescent="0.25">
      <c r="C134" s="73"/>
    </row>
    <row r="135" spans="3:4" x14ac:dyDescent="0.25">
      <c r="C135" s="73"/>
      <c r="D135" s="35"/>
    </row>
    <row r="136" spans="3:4" x14ac:dyDescent="0.25">
      <c r="C136" s="73"/>
    </row>
    <row r="137" spans="3:4" x14ac:dyDescent="0.25">
      <c r="C137" s="73"/>
      <c r="D137" s="35"/>
    </row>
    <row r="138" spans="3:4" x14ac:dyDescent="0.25">
      <c r="C138" s="73"/>
    </row>
    <row r="139" spans="3:4" x14ac:dyDescent="0.25">
      <c r="C139" s="73"/>
      <c r="D139" s="35"/>
    </row>
    <row r="140" spans="3:4" x14ac:dyDescent="0.25">
      <c r="C140" s="73"/>
    </row>
    <row r="141" spans="3:4" x14ac:dyDescent="0.25">
      <c r="C141" s="73"/>
      <c r="D141" s="35"/>
    </row>
    <row r="142" spans="3:4" x14ac:dyDescent="0.25">
      <c r="C142" s="73"/>
    </row>
    <row r="143" spans="3:4" x14ac:dyDescent="0.25">
      <c r="C143" s="73"/>
      <c r="D143" s="35"/>
    </row>
    <row r="144" spans="3:4" x14ac:dyDescent="0.25">
      <c r="C144" s="73"/>
    </row>
    <row r="145" spans="3:4" x14ac:dyDescent="0.25">
      <c r="C145" s="73"/>
      <c r="D145" s="35"/>
    </row>
    <row r="146" spans="3:4" x14ac:dyDescent="0.25">
      <c r="C146" s="73"/>
    </row>
    <row r="147" spans="3:4" x14ac:dyDescent="0.25">
      <c r="C147" s="73"/>
      <c r="D147" s="35"/>
    </row>
    <row r="148" spans="3:4" x14ac:dyDescent="0.25">
      <c r="C148" s="73"/>
    </row>
    <row r="149" spans="3:4" x14ac:dyDescent="0.25">
      <c r="C149" s="73"/>
      <c r="D149" s="35"/>
    </row>
    <row r="150" spans="3:4" x14ac:dyDescent="0.25">
      <c r="C150" s="73"/>
    </row>
    <row r="151" spans="3:4" x14ac:dyDescent="0.25">
      <c r="C151" s="73"/>
      <c r="D151" s="35"/>
    </row>
    <row r="152" spans="3:4" x14ac:dyDescent="0.25">
      <c r="C152" s="73"/>
    </row>
    <row r="153" spans="3:4" x14ac:dyDescent="0.25">
      <c r="C153" s="73"/>
      <c r="D153" s="35"/>
    </row>
    <row r="154" spans="3:4" x14ac:dyDescent="0.25">
      <c r="C154" s="73"/>
    </row>
    <row r="155" spans="3:4" x14ac:dyDescent="0.25">
      <c r="C155" s="73"/>
      <c r="D155" s="35"/>
    </row>
    <row r="156" spans="3:4" x14ac:dyDescent="0.25">
      <c r="C156" s="73"/>
    </row>
    <row r="157" spans="3:4" x14ac:dyDescent="0.25">
      <c r="C157" s="73"/>
      <c r="D157" s="35"/>
    </row>
    <row r="158" spans="3:4" x14ac:dyDescent="0.25">
      <c r="C158" s="73"/>
    </row>
    <row r="159" spans="3:4" x14ac:dyDescent="0.25">
      <c r="C159" s="73"/>
      <c r="D159" s="35"/>
    </row>
    <row r="160" spans="3:4" x14ac:dyDescent="0.25">
      <c r="C160" s="73"/>
    </row>
    <row r="161" spans="3:4" x14ac:dyDescent="0.25">
      <c r="C161" s="73"/>
      <c r="D161" s="35"/>
    </row>
    <row r="162" spans="3:4" x14ac:dyDescent="0.25">
      <c r="C162" s="73"/>
    </row>
    <row r="163" spans="3:4" x14ac:dyDescent="0.25">
      <c r="C163" s="73"/>
      <c r="D163" s="35"/>
    </row>
    <row r="165" spans="3:4" x14ac:dyDescent="0.25">
      <c r="D165" s="35"/>
    </row>
    <row r="167" spans="3:4" x14ac:dyDescent="0.25">
      <c r="D167" s="35"/>
    </row>
    <row r="169" spans="3:4" x14ac:dyDescent="0.25">
      <c r="D169" s="35"/>
    </row>
    <row r="171" spans="3:4" x14ac:dyDescent="0.25">
      <c r="D171" s="35"/>
    </row>
    <row r="173" spans="3:4" x14ac:dyDescent="0.25">
      <c r="D173" s="35"/>
    </row>
    <row r="175" spans="3:4" x14ac:dyDescent="0.25">
      <c r="D175" s="35"/>
    </row>
    <row r="177" spans="4:4" x14ac:dyDescent="0.25">
      <c r="D177" s="35"/>
    </row>
    <row r="179" spans="4:4" x14ac:dyDescent="0.25">
      <c r="D179" s="35"/>
    </row>
    <row r="181" spans="4:4" x14ac:dyDescent="0.25">
      <c r="D181" s="35"/>
    </row>
    <row r="183" spans="4:4" x14ac:dyDescent="0.25">
      <c r="D183" s="35"/>
    </row>
    <row r="185" spans="4:4" x14ac:dyDescent="0.25">
      <c r="D185" s="35"/>
    </row>
    <row r="187" spans="4:4" x14ac:dyDescent="0.25">
      <c r="D187" s="35"/>
    </row>
    <row r="189" spans="4:4" x14ac:dyDescent="0.25">
      <c r="D189" s="35"/>
    </row>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87"/>
  <sheetViews>
    <sheetView workbookViewId="0">
      <pane ySplit="1" topLeftCell="A2" activePane="bottomLeft" state="frozen"/>
      <selection activeCell="U1" sqref="U1"/>
      <selection pane="bottomLeft"/>
    </sheetView>
  </sheetViews>
  <sheetFormatPr defaultColWidth="5.28515625" defaultRowHeight="12" customHeight="1" outlineLevelCol="1" x14ac:dyDescent="0.2"/>
  <cols>
    <col min="1" max="1" width="11.28515625" style="33" bestFit="1" customWidth="1"/>
    <col min="2" max="2" width="9.7109375" style="10" customWidth="1"/>
    <col min="3" max="3" width="17.85546875" style="10" customWidth="1"/>
    <col min="4" max="4" width="6.85546875" style="36" customWidth="1"/>
    <col min="5" max="5" width="4.28515625" style="42" customWidth="1"/>
    <col min="6" max="6" width="10.28515625" style="36" bestFit="1" customWidth="1"/>
    <col min="7" max="7" width="9.28515625" style="36" customWidth="1"/>
    <col min="8" max="8" width="14.85546875" style="36" bestFit="1" customWidth="1"/>
    <col min="9" max="9" width="30.5703125" style="36" customWidth="1"/>
    <col min="10" max="10" width="17.5703125" style="36" customWidth="1"/>
    <col min="11" max="11" width="9.5703125" style="36" customWidth="1"/>
    <col min="12" max="13" width="9.7109375" style="36" customWidth="1"/>
    <col min="14" max="14" width="13.85546875" style="36" customWidth="1"/>
    <col min="15" max="15" width="8.7109375" style="36" customWidth="1"/>
    <col min="16" max="16" width="22.7109375" style="36" bestFit="1" customWidth="1"/>
    <col min="17" max="17" width="18.28515625" style="36" bestFit="1" customWidth="1"/>
    <col min="18" max="18" width="8.7109375" style="36" bestFit="1" customWidth="1"/>
    <col min="19" max="19" width="11.42578125" style="36" bestFit="1" customWidth="1"/>
    <col min="20" max="20" width="12.7109375" style="36" customWidth="1"/>
    <col min="21" max="21" width="10.42578125" style="36" bestFit="1" customWidth="1"/>
    <col min="22" max="22" width="10.42578125" style="36" customWidth="1"/>
    <col min="23" max="23" width="11.85546875" style="36" customWidth="1"/>
    <col min="24" max="24" width="8.140625" style="36" customWidth="1"/>
    <col min="25" max="25" width="10" style="42" customWidth="1"/>
    <col min="26" max="26" width="15.42578125" style="36" customWidth="1"/>
    <col min="27" max="27" width="11" style="36" customWidth="1"/>
    <col min="28" max="28" width="16.42578125" style="36" customWidth="1"/>
    <col min="29" max="29" width="13.5703125" style="36" customWidth="1"/>
    <col min="30" max="30" width="13.140625" style="36" customWidth="1"/>
    <col min="31" max="31" width="11" style="36" customWidth="1"/>
    <col min="32" max="32" width="12.5703125" style="46" customWidth="1"/>
    <col min="33" max="33" width="10.140625" style="29" customWidth="1"/>
    <col min="34" max="34" width="10.7109375" style="8" customWidth="1"/>
    <col min="35" max="35" width="10.7109375" style="29" customWidth="1"/>
    <col min="36" max="36" width="10.7109375" style="54" customWidth="1"/>
    <col min="37" max="40" width="10.7109375" style="29" customWidth="1"/>
    <col min="41" max="43" width="10.7109375" style="29" customWidth="1" outlineLevel="1"/>
    <col min="44" max="44" width="16.85546875" style="54" customWidth="1" outlineLevel="1"/>
    <col min="45" max="46" width="16.85546875" style="29" customWidth="1" outlineLevel="1"/>
    <col min="47" max="47" width="5.28515625" style="8" outlineLevel="1"/>
    <col min="48" max="50" width="13.42578125" style="23" bestFit="1" customWidth="1" outlineLevel="1"/>
    <col min="51" max="51" width="14.85546875" style="23" bestFit="1" customWidth="1" outlineLevel="1"/>
    <col min="52" max="53" width="14.5703125" style="23" bestFit="1" customWidth="1"/>
    <col min="54" max="54" width="13.5703125" style="23" bestFit="1" customWidth="1"/>
    <col min="55" max="57" width="13.5703125" style="16" bestFit="1" customWidth="1"/>
    <col min="58" max="62" width="12.42578125" style="16" bestFit="1" customWidth="1"/>
    <col min="63" max="74" width="10.42578125" style="16" bestFit="1" customWidth="1"/>
    <col min="75" max="95" width="11.42578125" style="16" bestFit="1" customWidth="1"/>
    <col min="96" max="99" width="12.42578125" style="10" bestFit="1" customWidth="1"/>
    <col min="100" max="133" width="10.42578125" style="10" bestFit="1" customWidth="1"/>
    <col min="134" max="16384" width="5.28515625" style="10"/>
  </cols>
  <sheetData>
    <row r="1" spans="1:99" ht="12" customHeight="1" x14ac:dyDescent="0.2">
      <c r="A1" s="33" t="s">
        <v>81</v>
      </c>
      <c r="B1" s="11" t="s">
        <v>0</v>
      </c>
      <c r="C1" s="11" t="s">
        <v>1</v>
      </c>
      <c r="D1" s="31" t="s">
        <v>2</v>
      </c>
      <c r="E1" s="40" t="s">
        <v>131</v>
      </c>
      <c r="F1" s="31" t="s">
        <v>6</v>
      </c>
      <c r="G1" s="31" t="s">
        <v>110</v>
      </c>
      <c r="H1" s="31" t="s">
        <v>1</v>
      </c>
      <c r="I1" s="31" t="s">
        <v>8</v>
      </c>
      <c r="J1" s="31" t="s">
        <v>7</v>
      </c>
      <c r="K1" s="31" t="s">
        <v>127</v>
      </c>
      <c r="L1" s="31" t="s">
        <v>122</v>
      </c>
      <c r="M1" s="31" t="s">
        <v>125</v>
      </c>
      <c r="N1" s="31" t="s">
        <v>123</v>
      </c>
      <c r="O1" s="31" t="s">
        <v>5</v>
      </c>
      <c r="P1" s="31" t="s">
        <v>126</v>
      </c>
      <c r="Q1" s="31" t="s">
        <v>3</v>
      </c>
      <c r="R1" s="31" t="s">
        <v>124</v>
      </c>
      <c r="S1" s="31" t="s">
        <v>4</v>
      </c>
      <c r="T1" s="31" t="s">
        <v>68</v>
      </c>
      <c r="U1" s="31" t="s">
        <v>165</v>
      </c>
      <c r="V1" s="31" t="s">
        <v>120</v>
      </c>
      <c r="W1" s="31" t="s">
        <v>121</v>
      </c>
      <c r="X1" s="31" t="s">
        <v>128</v>
      </c>
      <c r="Y1" s="40" t="s">
        <v>117</v>
      </c>
      <c r="Z1" s="31" t="s">
        <v>129</v>
      </c>
      <c r="AA1" s="31" t="s">
        <v>87</v>
      </c>
      <c r="AB1" s="31" t="s">
        <v>85</v>
      </c>
      <c r="AC1" s="31" t="s">
        <v>86</v>
      </c>
      <c r="AD1" s="31" t="s">
        <v>130</v>
      </c>
      <c r="AE1" s="31" t="s">
        <v>118</v>
      </c>
      <c r="AF1" s="44" t="s">
        <v>119</v>
      </c>
      <c r="AG1" s="27" t="s">
        <v>114</v>
      </c>
      <c r="AH1" s="4"/>
      <c r="AI1" s="58" t="s">
        <v>76</v>
      </c>
      <c r="AJ1" s="52" t="s">
        <v>74</v>
      </c>
      <c r="AK1" s="27" t="s">
        <v>9</v>
      </c>
      <c r="AL1" s="58" t="s">
        <v>77</v>
      </c>
      <c r="AM1" s="27" t="s">
        <v>10</v>
      </c>
      <c r="AN1" s="27" t="s">
        <v>11</v>
      </c>
      <c r="AO1" s="58" t="s">
        <v>162</v>
      </c>
      <c r="AP1" s="27" t="s">
        <v>80</v>
      </c>
      <c r="AQ1" s="58" t="s">
        <v>163</v>
      </c>
      <c r="AR1" s="52" t="s">
        <v>78</v>
      </c>
      <c r="AS1" s="58" t="s">
        <v>164</v>
      </c>
      <c r="AT1" s="27" t="s">
        <v>79</v>
      </c>
      <c r="AU1" s="4"/>
      <c r="AV1" s="7" t="s">
        <v>75</v>
      </c>
      <c r="AW1" s="7"/>
      <c r="AX1" s="7"/>
      <c r="AY1" s="7"/>
      <c r="AZ1" s="7"/>
      <c r="BA1" s="7"/>
      <c r="BB1" s="7"/>
      <c r="BC1" s="6"/>
      <c r="BD1" s="6"/>
      <c r="BE1" s="6"/>
      <c r="BF1" s="6"/>
      <c r="BG1" s="6"/>
      <c r="BH1" s="6"/>
      <c r="BI1" s="6"/>
      <c r="BJ1" s="6"/>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11"/>
      <c r="CS1" s="11"/>
      <c r="CT1" s="11"/>
      <c r="CU1" s="11"/>
    </row>
    <row r="2" spans="1:99" s="9" customFormat="1" ht="12" customHeight="1" x14ac:dyDescent="0.2">
      <c r="A2" s="37">
        <v>43509</v>
      </c>
      <c r="B2" s="1"/>
      <c r="C2" s="1"/>
      <c r="D2" s="32"/>
      <c r="E2" s="41"/>
      <c r="F2" s="32"/>
      <c r="G2" s="32"/>
      <c r="H2" s="33"/>
      <c r="I2" s="32"/>
      <c r="J2" s="32"/>
      <c r="K2" s="36"/>
      <c r="L2" s="36"/>
      <c r="M2" s="32"/>
      <c r="N2" s="32"/>
      <c r="O2" s="32"/>
      <c r="P2" s="32"/>
      <c r="Q2" s="32"/>
      <c r="R2" s="32"/>
      <c r="S2" s="32"/>
      <c r="T2" s="32"/>
      <c r="U2" s="32"/>
      <c r="V2" s="32"/>
      <c r="W2" s="32"/>
      <c r="X2" s="32"/>
      <c r="Y2" s="41"/>
      <c r="Z2" s="32"/>
      <c r="AA2" s="32"/>
      <c r="AB2" s="32"/>
      <c r="AC2" s="32"/>
      <c r="AD2" s="32"/>
      <c r="AE2" s="32"/>
      <c r="AF2" s="45"/>
      <c r="AG2" s="28"/>
      <c r="AH2" s="4"/>
      <c r="AI2" s="28"/>
      <c r="AJ2" s="51"/>
      <c r="AK2" s="28"/>
      <c r="AL2" s="28"/>
      <c r="AM2" s="28"/>
      <c r="AN2" s="28"/>
      <c r="AO2" s="28"/>
      <c r="AP2" s="28"/>
      <c r="AQ2" s="28"/>
      <c r="AR2" s="51"/>
      <c r="AS2" s="28"/>
      <c r="AT2" s="28"/>
      <c r="AU2" s="4"/>
      <c r="AV2" s="18">
        <v>60</v>
      </c>
      <c r="AW2" s="18">
        <v>86400</v>
      </c>
      <c r="AX2" s="18">
        <v>259200</v>
      </c>
      <c r="AY2" s="18">
        <v>604800</v>
      </c>
      <c r="AZ2" s="18">
        <v>1209600</v>
      </c>
      <c r="BA2" s="18">
        <v>2419200</v>
      </c>
      <c r="BB2" s="18">
        <v>3628800</v>
      </c>
      <c r="BC2" s="18">
        <v>4838400</v>
      </c>
      <c r="BD2" s="18">
        <v>7257600</v>
      </c>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1"/>
      <c r="CS2" s="1"/>
      <c r="CT2" s="1"/>
      <c r="CU2" s="1"/>
    </row>
    <row r="3" spans="1:99" s="9" customFormat="1" ht="12" customHeight="1" x14ac:dyDescent="0.2">
      <c r="A3" s="37">
        <v>43509</v>
      </c>
      <c r="B3" s="1" t="s">
        <v>108</v>
      </c>
      <c r="C3" s="1" t="s">
        <v>42</v>
      </c>
      <c r="D3" s="32">
        <v>2019</v>
      </c>
      <c r="E3" s="41">
        <v>2</v>
      </c>
      <c r="F3" s="32">
        <v>144</v>
      </c>
      <c r="G3" s="32">
        <v>16</v>
      </c>
      <c r="H3" s="32" t="s">
        <v>16</v>
      </c>
      <c r="I3" s="32"/>
      <c r="J3" s="32" t="s">
        <v>109</v>
      </c>
      <c r="K3" s="32">
        <f>IF(J3="syllables",1,IF(J3="trigrams",2,IF(J3="strings",3,IF(J3="visual array",4,IF(J3="characters",5,IF(J3="letters",6,IF(J3="free forms",7,IF(J3="odors",8,IF(J3="words",9,IF(J3="pictures",10,IF(J3="object pictures",11,IF(J3="faces",12,IF(J3="names",13,IF(J3="idioms",14,IF(J3="grades",15,IF(J3="syllable-digit pairs",16,IF(J3="trigram-word pairs",17,IF(J3="word-digit pairs",18,IF(J3="English-Swahili pairs",19,IF(J3="spatial position",20,IF(J3="word pairs",21,IF(J3="word triads",22,IF(J3="generated words",23,IF(J3="word definition pairs",24,IF(J3="math problems",25,IF(J3="famous faces",26,IF(J3="famous names",27,IF(J3="famous voices",28,IF(J3="television programs",29,IF(J3="race horses",30,IF(J3="new vocabulary",31,IF(J3="sentences",32,IF(J3="concepts",33,IF(J3="ad slides",34,IF(J3="scenes",35,IF(J3="famous scenes",36,IF(J3="poems",37,IF(J3="walk",38,IF(J3="faces and events",39,IF(J3="events and names",40,IF(J3="flashbulb",41,IF(J3="stories",42,IF(J3="course material",43,IF(J3="autobiographical",44,IF(J3="novels",45,IF(J3="public events",46,"99"))))))))))))))))))))))))))))))))))))))))))))))</f>
        <v>32</v>
      </c>
      <c r="L3" s="32">
        <f>IF(J3="syllables",1,IF(J3="trigrams",1,IF(J3="strings",1,IF(J3="visual array",1,IF(J3="characters",1,IF(J3="letters",1,IF(J3="free forms",1,IF(J3="odors",2,IF(J3="words",2,IF(J3="pictures",2,IF(J3="object pictures",2,IF(J3="faces",2,IF(J3="names",2,IF(J3="idioms","2",IF(J3="grades",2,IF(J3="syllable-digit pairs",3,IF(J3="trigram-word pairs",3,IF(J3="word-digit pairs",3,IF(J3="English-Swahili pairs",3,IF(J3="spatial position",3,IF(J3="word pairs",4,IF(J3="word triads",4,IF(J3="generated words",4,IF(J3="word definition pairs",4,IF(J3="math problems",4,IF(J3="famous faces",4,IF(J3="famous names",4,IF(J3="famous voices",4,IF(J3="television programs",4,IF(J3="race horses",4,IF(J3="new vocabulary",4,IF(J3="sentences",5,IF(J3="concepts",5,IF(J3="ad slides",5,IF(J3="scenes",5,IF(J3="famous scenes",5,IF(J3="poems",6,IF(J3="walk",6,IF(J3="faces and events",6,IF(J3="events and names",6,IF(J3="flashbulb",7,IF(J3="stories",7,IF(J3="course material",7,IF(J3="autobiographical",7,IF(J3="novels",7,IF(J3="public events",7,"99"))))))))))))))))))))))))))))))))))))))))))))))</f>
        <v>5</v>
      </c>
      <c r="M3" s="32">
        <v>1</v>
      </c>
      <c r="N3" s="32">
        <v>4</v>
      </c>
      <c r="O3" s="32">
        <v>0</v>
      </c>
      <c r="P3" s="32"/>
      <c r="Q3" s="32" t="s">
        <v>18</v>
      </c>
      <c r="R3" s="32">
        <f>IF(Q3="Free Recall",1,IF(Q3="Cued Recall",2,IF(Q3="Recognition",3,IF(Q3="Multiple Choice",4,IF(Q3="Savings",5,IF(Q3="Stem Completion",6,IF(Q3="Fragment Completion",7,IF(Q3="anagram solution",8,IF(Q3="Matching",9,IF(Q3="Problem Solving",10,"99"))))))))))</f>
        <v>3</v>
      </c>
      <c r="S3" s="77" t="s">
        <v>196</v>
      </c>
      <c r="T3" s="32" t="s">
        <v>72</v>
      </c>
      <c r="U3" s="32">
        <f>IF(T3="within",1,0)</f>
        <v>0</v>
      </c>
      <c r="V3" s="32">
        <v>18</v>
      </c>
      <c r="W3" s="32">
        <f>F3*V3</f>
        <v>2592</v>
      </c>
      <c r="X3" s="32">
        <v>9</v>
      </c>
      <c r="Y3" s="41">
        <f>AV2</f>
        <v>60</v>
      </c>
      <c r="Z3" s="32" t="s">
        <v>61</v>
      </c>
      <c r="AA3" s="32">
        <v>7257600</v>
      </c>
      <c r="AB3" s="32" t="str">
        <f>IF(AA3&lt;60,"1",IF(AA3&lt;=43200,"2",IF(AA3&lt;=777600,"3","4")))</f>
        <v>4</v>
      </c>
      <c r="AC3" s="28">
        <f>AVERAGE(AV2:DA2)</f>
        <v>2256006.6666666665</v>
      </c>
      <c r="AD3" s="32" t="str">
        <f>IF(AC3&lt;60,"1",IF(AC3&lt;=43200,"2",IF(AC3&lt;=777600,"3","4")))</f>
        <v>4</v>
      </c>
      <c r="AE3" s="41">
        <f>AA3-Y3</f>
        <v>7257540</v>
      </c>
      <c r="AF3" s="45">
        <f>AV3</f>
        <v>7.0797721828637394</v>
      </c>
      <c r="AG3" s="28">
        <f>((AW3-AV3)+(AX3-AW3)+(AY3-AX3)+(AZ3-AY3)+(BA3-AZ3)+(BB3-BA3)+(BC3-BB3)+(BD3-BC3))/8</f>
        <v>-0.74999780108383252</v>
      </c>
      <c r="AH3" s="4"/>
      <c r="AI3" s="28">
        <f>RSQ(AV3:BD3,AV2:BD2)</f>
        <v>0.66633644111704149</v>
      </c>
      <c r="AJ3" s="51">
        <f>SLOPE(AV3:BD3,AV2:BD2)</f>
        <v>-8.2797169294862954E-7</v>
      </c>
      <c r="AK3" s="28">
        <f>INTERCEPT(AV3:BD3,AV2:BD2)</f>
        <v>5.6673881672604329</v>
      </c>
      <c r="AL3" s="28">
        <f>INDEX(LINEST(LN(AV3:BD3),LN(AV2:BD2),TRUE,TRUE),3,1)</f>
        <v>0.56314997282863155</v>
      </c>
      <c r="AM3" s="28">
        <f>INDEX(LINEST(LN(AV3:BD3),LN(AV2:BD2)),1)</f>
        <v>-0.15069728030683968</v>
      </c>
      <c r="AN3" s="28">
        <f>EXP(INDEX(LINEST(LN(AV3:BD3),LN(AV2:BD2)),1,2))</f>
        <v>21.29764758414133</v>
      </c>
      <c r="AO3" s="47">
        <f>INDEX(LINEST((AV3:BD3),LN(AV2:BD2),TRUE,TRUE),3,1)</f>
        <v>0.60082120074099554</v>
      </c>
      <c r="AP3" s="47">
        <f>INDEX(LINEST((AV3:BD3),LN(AV2:BD2)),1)</f>
        <v>-0.55119409806542385</v>
      </c>
      <c r="AQ3" s="48">
        <f>INDEX(LINEST(LN(AV3:BD3),SQRT(AV2:BD2),TRUE,TRUE),3,1)</f>
        <v>0.95276846115822034</v>
      </c>
      <c r="AR3" s="56">
        <f>INDEX(LINEST(LN(AV3:BD3),SQRT((AV2:BD2))),1)</f>
        <v>-7.6968774214040817E-4</v>
      </c>
      <c r="AS3" s="49">
        <f>INDEX(LINEST(1/(AV3:BD3),1/(SQRT(AV2:BD2)),TRUE,TRUE),3,1)</f>
        <v>0.14411627374996927</v>
      </c>
      <c r="AT3" s="49">
        <f>INDEX(LINEST(1/(AV3:BD3),1/SQRT(AV2:BD2)),1)</f>
        <v>-2.4698376543659877</v>
      </c>
      <c r="AU3" s="3"/>
      <c r="AV3" s="25">
        <v>7.0797721828637394</v>
      </c>
      <c r="AW3" s="25">
        <v>7.0797721828579299</v>
      </c>
      <c r="AX3" s="25">
        <v>7.0797721828637394</v>
      </c>
      <c r="AY3" s="25">
        <v>3.3565846363304219</v>
      </c>
      <c r="AZ3" s="25">
        <v>3.1557576315618023</v>
      </c>
      <c r="BA3" s="25">
        <v>2.1044244150878391</v>
      </c>
      <c r="BB3" s="25">
        <v>1.8525125550036416</v>
      </c>
      <c r="BC3" s="25">
        <v>1.4069210126511544</v>
      </c>
      <c r="BD3" s="25">
        <v>1.0797897741930793</v>
      </c>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1"/>
      <c r="CS3" s="1"/>
      <c r="CT3" s="1"/>
      <c r="CU3" s="1"/>
    </row>
    <row r="4" spans="1:99" s="9" customFormat="1" ht="12" customHeight="1" x14ac:dyDescent="0.2">
      <c r="A4" s="37">
        <v>43509</v>
      </c>
      <c r="B4" s="1"/>
      <c r="C4" s="1"/>
      <c r="D4" s="32"/>
      <c r="E4" s="41"/>
      <c r="F4" s="32"/>
      <c r="G4" s="32"/>
      <c r="H4" s="33"/>
      <c r="I4" s="32"/>
      <c r="J4" s="32"/>
      <c r="K4" s="36"/>
      <c r="L4" s="36"/>
      <c r="M4" s="32"/>
      <c r="N4" s="32"/>
      <c r="O4" s="32"/>
      <c r="P4" s="32"/>
      <c r="Q4" s="32"/>
      <c r="R4" s="32"/>
      <c r="S4" s="77"/>
      <c r="T4" s="32"/>
      <c r="U4" s="32"/>
      <c r="V4" s="32"/>
      <c r="W4" s="32"/>
      <c r="X4" s="32"/>
      <c r="Y4" s="41"/>
      <c r="Z4" s="32"/>
      <c r="AA4" s="32"/>
      <c r="AB4" s="32"/>
      <c r="AC4" s="32"/>
      <c r="AD4" s="32"/>
      <c r="AE4" s="32"/>
      <c r="AF4" s="45"/>
      <c r="AG4" s="28"/>
      <c r="AH4" s="4"/>
      <c r="AI4" s="28"/>
      <c r="AJ4" s="51"/>
      <c r="AK4" s="28"/>
      <c r="AL4" s="28"/>
      <c r="AM4" s="28"/>
      <c r="AN4" s="28"/>
      <c r="AO4" s="28"/>
      <c r="AP4" s="28"/>
      <c r="AQ4" s="47"/>
      <c r="AR4" s="55"/>
      <c r="AS4" s="47"/>
      <c r="AT4" s="47"/>
      <c r="AU4" s="4"/>
      <c r="AV4" s="18">
        <v>60</v>
      </c>
      <c r="AW4" s="18">
        <v>86400</v>
      </c>
      <c r="AX4" s="18">
        <v>259200</v>
      </c>
      <c r="AY4" s="18">
        <v>604800</v>
      </c>
      <c r="AZ4" s="18">
        <v>864000</v>
      </c>
      <c r="BA4" s="18">
        <v>1209600</v>
      </c>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1"/>
      <c r="CS4" s="1"/>
      <c r="CT4" s="1"/>
      <c r="CU4" s="1"/>
    </row>
    <row r="5" spans="1:99" s="9" customFormat="1" ht="12" customHeight="1" x14ac:dyDescent="0.2">
      <c r="A5" s="37">
        <v>43509</v>
      </c>
      <c r="B5" s="1" t="s">
        <v>108</v>
      </c>
      <c r="C5" s="1" t="s">
        <v>42</v>
      </c>
      <c r="D5" s="32">
        <v>2019</v>
      </c>
      <c r="E5" s="41">
        <v>3</v>
      </c>
      <c r="F5" s="32">
        <v>144</v>
      </c>
      <c r="G5" s="32">
        <v>24</v>
      </c>
      <c r="H5" s="32" t="s">
        <v>13</v>
      </c>
      <c r="I5" s="32"/>
      <c r="J5" s="32" t="s">
        <v>84</v>
      </c>
      <c r="K5" s="32">
        <f>IF(J5="syllables",1,IF(J5="trigrams",2,IF(J5="strings",3,IF(J5="visual array",4,IF(J5="characters",5,IF(J5="letters",6,IF(J5="free forms",7,IF(J5="odors",8,IF(J5="words",9,IF(J5="pictures",10,IF(J5="object pictures",11,IF(J5="faces",12,IF(J5="names",13,IF(J5="idioms",14,IF(J5="grades",15,IF(J5="syllable-digit pairs",16,IF(J5="trigram-word pairs",17,IF(J5="word-digit pairs",18,IF(J5="English-Swahili pairs",19,IF(J5="spatial position",20,IF(J5="word pairs",21,IF(J5="word triads",22,IF(J5="generated words",23,IF(J5="word definition pairs",24,IF(J5="math problems",25,IF(J5="famous faces",26,IF(J5="famous names",27,IF(J5="famous voices",28,IF(J5="television programs",29,IF(J5="race horses",30,IF(J5="new vocabulary",31,IF(J5="sentences",32,IF(J5="concepts",33,IF(J5="ad slides",34,IF(J5="scenes",35,IF(J5="famous scenes",36,IF(J5="poems",37,IF(J5="walk",38,IF(J5="faces and events",39,IF(J5="events and names",40,IF(J5="flashbulb",41,IF(J5="stories",42,IF(J5="course material",43,IF(J5="autobiographical",44,IF(J5="novels",45,IF(J5="public events",46,"99"))))))))))))))))))))))))))))))))))))))))))))))</f>
        <v>21</v>
      </c>
      <c r="L5" s="32">
        <f>IF(J5="syllables",1,IF(J5="trigrams",1,IF(J5="strings",1,IF(J5="visual array",1,IF(J5="characters",1,IF(J5="letters",1,IF(J5="free forms",1,IF(J5="odors",2,IF(J5="words",2,IF(J5="pictures",2,IF(J5="object pictures",2,IF(J5="faces",2,IF(J5="names",2,IF(J5="idioms","2",IF(J5="grades",2,IF(J5="syllable-digit pairs",3,IF(J5="trigram-word pairs",3,IF(J5="word-digit pairs",3,IF(J5="English-Swahili pairs",3,IF(J5="spatial position",3,IF(J5="word pairs",4,IF(J5="word triads",4,IF(J5="generated words",4,IF(J5="word definition pairs",4,IF(J5="math problems",4,IF(J5="famous faces",4,IF(J5="famous names",4,IF(J5="famous voices",4,IF(J5="television programs",4,IF(J5="race horses",4,IF(J5="new vocabulary",4,IF(J5="sentences",5,IF(J5="concepts",5,IF(J5="ad slides",5,IF(J5="scenes",5,IF(J5="famous scenes",5,IF(J5="poems",6,IF(J5="walk",6,IF(J5="faces and events",6,IF(J5="events and names",6,IF(J5="flashbulb",7,IF(J5="stories",7,IF(J5="course material",7,IF(J5="autobiographical",7,IF(J5="novels",7,IF(J5="public events",7,"99"))))))))))))))))))))))))))))))))))))))))))))))</f>
        <v>4</v>
      </c>
      <c r="M5" s="32">
        <v>1</v>
      </c>
      <c r="N5" s="32">
        <v>4</v>
      </c>
      <c r="O5" s="32">
        <v>0</v>
      </c>
      <c r="P5" s="32"/>
      <c r="Q5" s="32" t="s">
        <v>18</v>
      </c>
      <c r="R5" s="32">
        <f>IF(Q5="Free Recall",1,IF(Q5="Cued Recall",2,IF(Q5="Recognition",3,IF(Q5="Multiple Choice",4,IF(Q5="Savings",5,IF(Q5="Stem Completion",6,IF(Q5="Fragment Completion",7,IF(Q5="anagram solution",8,IF(Q5="Matching",9,IF(Q5="Problem Solving",10,"99"))))))))))</f>
        <v>3</v>
      </c>
      <c r="S5" s="77" t="s">
        <v>196</v>
      </c>
      <c r="T5" s="32" t="s">
        <v>72</v>
      </c>
      <c r="U5" s="32">
        <f>IF(T5="within",1,0)</f>
        <v>0</v>
      </c>
      <c r="V5" s="32">
        <v>18</v>
      </c>
      <c r="W5" s="32">
        <f>F5*V5</f>
        <v>2592</v>
      </c>
      <c r="X5" s="32">
        <v>6</v>
      </c>
      <c r="Y5" s="41">
        <f>AV4</f>
        <v>60</v>
      </c>
      <c r="Z5" s="32" t="s">
        <v>59</v>
      </c>
      <c r="AA5" s="32">
        <f>14*24*2600</f>
        <v>873600</v>
      </c>
      <c r="AB5" s="32" t="str">
        <f>IF(AA5&lt;60,"1",IF(AA5&lt;=43200,"2",IF(AA5&lt;=777600,"3","4")))</f>
        <v>4</v>
      </c>
      <c r="AC5" s="28">
        <f>AVERAGE(AV4:DA4)</f>
        <v>504010</v>
      </c>
      <c r="AD5" s="32" t="str">
        <f>IF(AC5&lt;60,"1",IF(AC5&lt;=43200,"2",IF(AC5&lt;=777600,"3","4")))</f>
        <v>3</v>
      </c>
      <c r="AE5" s="41">
        <f>AA5-Y5</f>
        <v>873540</v>
      </c>
      <c r="AF5" s="45">
        <f>AV5</f>
        <v>3.6741087245461443</v>
      </c>
      <c r="AG5" s="28">
        <f>((AW5-AV5)+(AX5-AW5)+(AY5-AX5)+(AZ5-AY5)+(BA5-AZ5))/5</f>
        <v>-0.40059539109425674</v>
      </c>
      <c r="AH5" s="4"/>
      <c r="AI5" s="28">
        <f>RSQ(AV5:BA5,AV4:BA4)</f>
        <v>0.90077278447736719</v>
      </c>
      <c r="AJ5" s="51">
        <f>SLOPE(AV5:BA5,AV4:BA4)</f>
        <v>-1.8054420807406573E-6</v>
      </c>
      <c r="AK5" s="28">
        <f>INTERCEPT(AV5:BA5,AV4:BA4)</f>
        <v>3.5004277658513585</v>
      </c>
      <c r="AL5" s="28">
        <f>INDEX(LINEST(LN(AV5:BA5),LN(AV4:BA4),TRUE,TRUE),3,1)</f>
        <v>0.52993729347359309</v>
      </c>
      <c r="AM5" s="28">
        <f>INDEX(LINEST(LN(AV5:BA5),LN(AV4:BA4)),1)</f>
        <v>-7.0295685363808869E-2</v>
      </c>
      <c r="AN5" s="28">
        <f>EXP(INDEX(LINEST(LN(AV5:BA5),LN(AV4:BA4)),1,2))</f>
        <v>5.5063841842261727</v>
      </c>
      <c r="AO5" s="47">
        <f>INDEX(LINEST((AV5:BA5),LN(AV4:BA4),TRUE,TRUE),3,1)</f>
        <v>0.58159107792402531</v>
      </c>
      <c r="AP5" s="47">
        <f>INDEX(LINEST((AV5:BA5),LN(AV4:BA4)),1)</f>
        <v>-0.18390412629261413</v>
      </c>
      <c r="AQ5" s="48">
        <f>INDEX(LINEST(LN(AV5:BA5),SQRT(AV4:BA4),TRUE,TRUE),3,1)</f>
        <v>0.9105613738701982</v>
      </c>
      <c r="AR5" s="56">
        <f>INDEX(LINEST(LN(AV5:BA5),SQRT((AV4:BA4))),1)</f>
        <v>-8.4023329650092268E-4</v>
      </c>
      <c r="AS5" s="49">
        <f>INDEX(LINEST(1/(AV5:BA5),1/(SQRT(AV4:BA4)),TRUE,TRUE),3,1)</f>
        <v>0.2721262779369808</v>
      </c>
      <c r="AT5" s="49">
        <f>INDEX(LINEST(1/(AV5:BA5),1/SQRT(AV4:BA4)),1)</f>
        <v>-1.5218572160539023</v>
      </c>
      <c r="AU5" s="3"/>
      <c r="AV5" s="25">
        <v>3.6741087245461443</v>
      </c>
      <c r="AW5" s="25">
        <v>3.3281218183605601</v>
      </c>
      <c r="AX5" s="25">
        <v>3.17893152151886</v>
      </c>
      <c r="AY5" s="25">
        <v>2.0091684539600148</v>
      </c>
      <c r="AZ5" s="25">
        <v>1.6813391289631192</v>
      </c>
      <c r="BA5" s="25">
        <v>1.6711317690748608</v>
      </c>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1"/>
      <c r="CS5" s="1"/>
      <c r="CT5" s="1"/>
      <c r="CU5" s="1"/>
    </row>
    <row r="6" spans="1:99" s="9" customFormat="1" ht="12" customHeight="1" x14ac:dyDescent="0.2">
      <c r="A6" s="37">
        <v>43509</v>
      </c>
      <c r="B6" s="1"/>
      <c r="C6" s="1"/>
      <c r="D6" s="32"/>
      <c r="E6" s="41"/>
      <c r="F6" s="32"/>
      <c r="G6" s="32"/>
      <c r="H6" s="32"/>
      <c r="I6" s="32"/>
      <c r="J6" s="32"/>
      <c r="K6" s="36"/>
      <c r="L6" s="36"/>
      <c r="M6" s="32"/>
      <c r="N6" s="32"/>
      <c r="O6" s="32"/>
      <c r="P6" s="32"/>
      <c r="Q6" s="32"/>
      <c r="R6" s="32"/>
      <c r="S6" s="32"/>
      <c r="T6" s="32"/>
      <c r="U6" s="32"/>
      <c r="V6" s="32"/>
      <c r="W6" s="32"/>
      <c r="X6" s="32"/>
      <c r="Y6" s="41"/>
      <c r="Z6" s="32"/>
      <c r="AA6" s="32"/>
      <c r="AB6" s="32"/>
      <c r="AC6" s="28"/>
      <c r="AD6" s="32"/>
      <c r="AE6" s="32"/>
      <c r="AF6" s="45"/>
      <c r="AG6" s="28"/>
      <c r="AH6" s="4"/>
      <c r="AI6" s="28"/>
      <c r="AJ6" s="51"/>
      <c r="AK6" s="28"/>
      <c r="AL6" s="28"/>
      <c r="AM6" s="28"/>
      <c r="AN6" s="28"/>
      <c r="AO6" s="47"/>
      <c r="AP6" s="47"/>
      <c r="AQ6" s="48"/>
      <c r="AR6" s="56"/>
      <c r="AS6" s="49"/>
      <c r="AT6" s="49"/>
      <c r="AU6" s="3"/>
      <c r="AV6" s="18">
        <v>900</v>
      </c>
      <c r="AW6" s="18">
        <v>2592000</v>
      </c>
      <c r="AX6" s="18">
        <v>5270400</v>
      </c>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1"/>
      <c r="CS6" s="1"/>
      <c r="CT6" s="1"/>
      <c r="CU6" s="1"/>
    </row>
    <row r="7" spans="1:99" s="9" customFormat="1" ht="12" customHeight="1" x14ac:dyDescent="0.2">
      <c r="A7" s="37">
        <v>43509</v>
      </c>
      <c r="B7" s="17" t="s">
        <v>62</v>
      </c>
      <c r="C7" s="1" t="s">
        <v>34</v>
      </c>
      <c r="D7" s="32">
        <v>1976</v>
      </c>
      <c r="E7" s="41">
        <v>2</v>
      </c>
      <c r="F7" s="32">
        <v>100</v>
      </c>
      <c r="G7" s="32">
        <v>33.299999999999997</v>
      </c>
      <c r="H7" s="32" t="s">
        <v>22</v>
      </c>
      <c r="I7" s="32" t="s">
        <v>12</v>
      </c>
      <c r="J7" s="32" t="s">
        <v>12</v>
      </c>
      <c r="K7" s="32">
        <f>IF(J7="syllables",1,IF(J7="trigrams",2,IF(J7="strings",3,IF(J7="visual array",4,IF(J7="characters",5,IF(J7="letters",6,IF(J7="free forms",7,IF(J7="odors",8,IF(J7="words",9,IF(J7="pictures",10,IF(J7="object pictures",11,IF(J7="faces",12,IF(J7="names",13,IF(J7="idioms",14,IF(J7="grades",15,IF(J7="syllable-digit pairs",16,IF(J7="trigram-word pairs",17,IF(J7="word-digit pairs",18,IF(J7="English-Swahili pairs",19,IF(J7="spatial position",20,IF(J7="word pairs",21,IF(J7="word triads",22,IF(J7="generated words",23,IF(J7="word definition pairs",24,IF(J7="math problems",25,IF(J7="famous faces",26,IF(J7="famous names",27,IF(J7="famous voices",28,IF(J7="television programs",29,IF(J7="race horses",30,IF(J7="new vocabulary",31,IF(J7="sentences",32,IF(J7="concepts",33,IF(J7="ad slides",34,IF(J7="scenes",35,IF(J7="famous scenes",36,IF(J7="poems",37,IF(J7="walk",38,IF(J7="faces and events",39,IF(J7="events and names",40,IF(J7="flashbulb",41,IF(J7="stories",42,IF(J7="course material",43,IF(J7="autobiographical",44,IF(J7="novels",45,IF(J7="public events",46,"99"))))))))))))))))))))))))))))))))))))))))))))))</f>
        <v>9</v>
      </c>
      <c r="L7" s="32">
        <f>IF(J7="syllables",1,IF(J7="trigrams",1,IF(J7="strings",1,IF(J7="visual array",1,IF(J7="characters",1,IF(J7="letters",1,IF(J7="free forms",1,IF(J7="odors",2,IF(J7="words",2,IF(J7="pictures",2,IF(J7="object pictures",2,IF(J7="faces",2,IF(J7="names",2,IF(J7="idioms","2",IF(J7="grades",2,IF(J7="syllable-digit pairs",3,IF(J7="trigram-word pairs",3,IF(J7="word-digit pairs",3,IF(J7="English-Swahili pairs",3,IF(J7="spatial position",3,IF(J7="word pairs",4,IF(J7="word triads",4,IF(J7="generated words",4,IF(J7="word definition pairs",4,IF(J7="math problems",4,IF(J7="famous faces",4,IF(J7="famous names",4,IF(J7="famous voices",4,IF(J7="television programs",4,IF(J7="race horses",4,IF(J7="new vocabulary",4,IF(J7="sentences",5,IF(J7="concepts",5,IF(J7="ad slides",5,IF(J7="scenes",5,IF(J7="famous scenes",5,IF(J7="poems",6,IF(J7="walk",6,IF(J7="faces and events",6,IF(J7="events and names",6,IF(J7="flashbulb",7,IF(J7="stories",7,IF(J7="course material",7,IF(J7="autobiographical",7,IF(J7="novels",7,IF(J7="public events",7,"99"))))))))))))))))))))))))))))))))))))))))))))))</f>
        <v>2</v>
      </c>
      <c r="M7" s="32">
        <v>0</v>
      </c>
      <c r="N7" s="32">
        <v>1</v>
      </c>
      <c r="O7" s="32">
        <v>0</v>
      </c>
      <c r="P7" s="32"/>
      <c r="Q7" s="32" t="s">
        <v>18</v>
      </c>
      <c r="R7" s="32">
        <f>IF(Q7="Free Recall",1,IF(Q7="Cued Recall",2,IF(Q7="Recognition",3,IF(Q7="Multiple Choice",4,IF(Q7="Savings",5,IF(Q7="Stem Completion",6,IF(Q7="Fragment Completion",7,IF(Q7="anagram solution",8,IF(Q7="Matching",9,IF(Q7="Problem Solving",10,"99"))))))))))</f>
        <v>3</v>
      </c>
      <c r="S7" s="77" t="s">
        <v>196</v>
      </c>
      <c r="T7" s="32" t="s">
        <v>72</v>
      </c>
      <c r="U7" s="32">
        <f>IF(T7="within",1,0)</f>
        <v>0</v>
      </c>
      <c r="V7" s="32">
        <v>70</v>
      </c>
      <c r="W7" s="32">
        <f>F7*V7</f>
        <v>7000</v>
      </c>
      <c r="X7" s="32">
        <v>3</v>
      </c>
      <c r="Y7" s="41">
        <f>AV6</f>
        <v>900</v>
      </c>
      <c r="Z7" s="32" t="s">
        <v>64</v>
      </c>
      <c r="AA7" s="32">
        <v>5270400</v>
      </c>
      <c r="AB7" s="32" t="str">
        <f>IF(AA7&lt;60,"1",IF(AA7&lt;=43200,"2",IF(AA7&lt;=777600,"3","4")))</f>
        <v>4</v>
      </c>
      <c r="AC7" s="28">
        <f>AVERAGE(AV6:DA6)</f>
        <v>2621100</v>
      </c>
      <c r="AD7" s="32" t="str">
        <f>IF(AC7&lt;60,"1",IF(AC7&lt;=43200,"2",IF(AC7&lt;=777600,"3","4")))</f>
        <v>4</v>
      </c>
      <c r="AE7" s="41">
        <f>AA7-Y7</f>
        <v>5269500</v>
      </c>
      <c r="AF7" s="45">
        <f>AV7</f>
        <v>1.4322534287620328</v>
      </c>
      <c r="AG7" s="28">
        <f>((AW7-AV7)+(AX7-AW7))/2</f>
        <v>-0.55503302672009991</v>
      </c>
      <c r="AH7" s="4"/>
      <c r="AI7" s="28">
        <f>RSQ(AV7:AX7,AV6:AX6)</f>
        <v>0.84929009686478907</v>
      </c>
      <c r="AJ7" s="51">
        <f>SLOPE(AV7:AX7,AV6:AX6)</f>
        <v>-2.0981331056696528E-7</v>
      </c>
      <c r="AK7" s="28">
        <f>INTERCEPT(AV7:AX7,AV6:AX6)</f>
        <v>1.2957667483606448</v>
      </c>
      <c r="AL7" s="28">
        <f>INDEX(LINEST(LN(AV7:AX7),LN(AV6:AX6),TRUE,TRUE),3,1)</f>
        <v>0.96364959138144302</v>
      </c>
      <c r="AM7" s="28">
        <f>INDEX(LINEST(LN(AV7:AX7),LN(AV6:AX6)),1)</f>
        <v>-0.15722364664076066</v>
      </c>
      <c r="AN7" s="28">
        <f>EXP(INDEX(LINEST(LN(AV7:AX7),LN(AV6:AX6)),1,2))</f>
        <v>4.2260085202060944</v>
      </c>
      <c r="AO7" s="47">
        <f>INDEX(LINEST((AV7:AX7),LN(AV6:AX6),TRUE,TRUE),3,1)</f>
        <v>0.99631538915476359</v>
      </c>
      <c r="AP7" s="47">
        <f>INDEX(LINEST((AV7:AX7),LN(AV6:AX6)),1)</f>
        <v>-0.12430779968915981</v>
      </c>
      <c r="AQ7" s="48">
        <f>INDEX(LINEST(LN(AV7:AX7),SQRT(AV6:AX6),TRUE,TRUE),3,1)</f>
        <v>0.99884445148971091</v>
      </c>
      <c r="AR7" s="56">
        <f>INDEX(LINEST(LN(AV7:AX7),SQRT((AV6:AX6))),1)</f>
        <v>-6.6359193379369628E-4</v>
      </c>
      <c r="AS7" s="49">
        <f>INDEX(LINEST(1/(AV7:AX7),1/(SQRT(AV6:AX6)),TRUE,TRUE),3,1)</f>
        <v>0.82039433918448612</v>
      </c>
      <c r="AT7" s="49">
        <f>INDEX(LINEST(1/(AV7:AX7),1/SQRT(AV6:AX6)),1)</f>
        <v>-57.709333043883476</v>
      </c>
      <c r="AU7" s="3"/>
      <c r="AV7" s="25">
        <v>1.4322534287620328</v>
      </c>
      <c r="AW7" s="25">
        <v>0.48303443601685003</v>
      </c>
      <c r="AX7" s="25">
        <v>0.322187375321833</v>
      </c>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1"/>
      <c r="CS7" s="1"/>
      <c r="CT7" s="1"/>
      <c r="CU7" s="1"/>
    </row>
    <row r="8" spans="1:99" s="9" customFormat="1" ht="12" customHeight="1" x14ac:dyDescent="0.2">
      <c r="A8" s="37">
        <v>43509</v>
      </c>
      <c r="B8" s="1"/>
      <c r="C8" s="1"/>
      <c r="D8" s="32"/>
      <c r="E8" s="41"/>
      <c r="F8" s="32"/>
      <c r="G8" s="32"/>
      <c r="H8" s="32"/>
      <c r="I8" s="32"/>
      <c r="J8" s="32"/>
      <c r="K8" s="36"/>
      <c r="L8" s="36"/>
      <c r="M8" s="32"/>
      <c r="N8" s="32"/>
      <c r="O8" s="32"/>
      <c r="P8" s="32"/>
      <c r="Q8" s="32"/>
      <c r="R8" s="32"/>
      <c r="S8" s="77"/>
      <c r="T8" s="32"/>
      <c r="U8" s="32"/>
      <c r="V8" s="32"/>
      <c r="W8" s="32"/>
      <c r="X8" s="32"/>
      <c r="Y8" s="41"/>
      <c r="Z8" s="32"/>
      <c r="AA8" s="32"/>
      <c r="AB8" s="32"/>
      <c r="AC8" s="28"/>
      <c r="AD8" s="32"/>
      <c r="AE8" s="32"/>
      <c r="AF8" s="45"/>
      <c r="AG8" s="28"/>
      <c r="AH8" s="4"/>
      <c r="AI8" s="28"/>
      <c r="AJ8" s="51"/>
      <c r="AK8" s="28"/>
      <c r="AL8" s="28"/>
      <c r="AM8" s="28"/>
      <c r="AN8" s="28"/>
      <c r="AO8" s="47"/>
      <c r="AP8" s="47"/>
      <c r="AQ8" s="48"/>
      <c r="AR8" s="56"/>
      <c r="AS8" s="49"/>
      <c r="AT8" s="49"/>
      <c r="AU8" s="3"/>
      <c r="AV8" s="18">
        <v>900</v>
      </c>
      <c r="AW8" s="18">
        <v>2592000</v>
      </c>
      <c r="AX8" s="18">
        <v>5270400</v>
      </c>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1"/>
      <c r="CS8" s="1"/>
      <c r="CT8" s="1"/>
      <c r="CU8" s="1"/>
    </row>
    <row r="9" spans="1:99" s="9" customFormat="1" ht="12" customHeight="1" x14ac:dyDescent="0.2">
      <c r="A9" s="37">
        <v>43509</v>
      </c>
      <c r="B9" s="1" t="s">
        <v>62</v>
      </c>
      <c r="C9" s="1" t="s">
        <v>34</v>
      </c>
      <c r="D9" s="32">
        <v>1976</v>
      </c>
      <c r="E9" s="41">
        <v>2</v>
      </c>
      <c r="F9" s="32">
        <v>100</v>
      </c>
      <c r="G9" s="32">
        <v>33.299999999999997</v>
      </c>
      <c r="H9" s="32" t="s">
        <v>22</v>
      </c>
      <c r="I9" s="32" t="s">
        <v>82</v>
      </c>
      <c r="J9" s="32" t="s">
        <v>82</v>
      </c>
      <c r="K9" s="32">
        <f>IF(J9="syllables",1,IF(J9="trigrams",2,IF(J9="strings",3,IF(J9="visual array",4,IF(J9="characters",5,IF(J9="letters",6,IF(J9="free forms",7,IF(J9="odors",8,IF(J9="words",9,IF(J9="pictures",10,IF(J9="object pictures",11,IF(J9="faces",12,IF(J9="names",13,IF(J9="idioms",14,IF(J9="grades",15,IF(J9="syllable-digit pairs",16,IF(J9="trigram-word pairs",17,IF(J9="word-digit pairs",18,IF(J9="English-Swahili pairs",19,IF(J9="spatial position",20,IF(J9="word pairs",21,IF(J9="word triads",22,IF(J9="generated words",23,IF(J9="word definition pairs",24,IF(J9="math problems",25,IF(J9="famous faces",26,IF(J9="famous names",27,IF(J9="famous voices",28,IF(J9="television programs",29,IF(J9="race horses",30,IF(J9="new vocabulary",31,IF(J9="sentences",32,IF(J9="concepts",33,IF(J9="ad slides",34,IF(J9="scenes",35,IF(J9="famous scenes",36,IF(J9="poems",37,IF(J9="walk",38,IF(J9="faces and events",39,IF(J9="events and names",40,IF(J9="flashbulb",41,IF(J9="stories",42,IF(J9="course material",43,IF(J9="autobiographical",44,IF(J9="novels",45,IF(J9="public events",46,"99"))))))))))))))))))))))))))))))))))))))))))))))</f>
        <v>10</v>
      </c>
      <c r="L9" s="32">
        <f>IF(J9="syllables",1,IF(J9="trigrams",1,IF(J9="strings",1,IF(J9="visual array",1,IF(J9="characters",1,IF(J9="letters",1,IF(J9="free forms",1,IF(J9="odors",2,IF(J9="words",2,IF(J9="pictures",2,IF(J9="object pictures",2,IF(J9="faces",2,IF(J9="names",2,IF(J9="idioms","2",IF(J9="grades",2,IF(J9="syllable-digit pairs",3,IF(J9="trigram-word pairs",3,IF(J9="word-digit pairs",3,IF(J9="English-Swahili pairs",3,IF(J9="spatial position",3,IF(J9="word pairs",4,IF(J9="word triads",4,IF(J9="generated words",4,IF(J9="word definition pairs",4,IF(J9="math problems",4,IF(J9="famous faces",4,IF(J9="famous names",4,IF(J9="famous voices",4,IF(J9="television programs",4,IF(J9="race horses",4,IF(J9="new vocabulary",4,IF(J9="sentences",5,IF(J9="concepts",5,IF(J9="ad slides",5,IF(J9="scenes",5,IF(J9="famous scenes",5,IF(J9="poems",6,IF(J9="walk",6,IF(J9="faces and events",6,IF(J9="events and names",6,IF(J9="flashbulb",7,IF(J9="stories",7,IF(J9="course material",7,IF(J9="autobiographical",7,IF(J9="novels",7,IF(J9="public events",7,"99"))))))))))))))))))))))))))))))))))))))))))))))</f>
        <v>2</v>
      </c>
      <c r="M9" s="32">
        <v>0</v>
      </c>
      <c r="N9" s="32">
        <v>1</v>
      </c>
      <c r="O9" s="32">
        <v>0</v>
      </c>
      <c r="P9" s="32"/>
      <c r="Q9" s="32" t="s">
        <v>18</v>
      </c>
      <c r="R9" s="32">
        <f>IF(Q9="Free Recall",1,IF(Q9="Cued Recall",2,IF(Q9="Recognition",3,IF(Q9="Multiple Choice",4,IF(Q9="Savings",5,IF(Q9="Stem Completion",6,IF(Q9="Fragment Completion",7,IF(Q9="anagram solution",8,IF(Q9="Matching",9,IF(Q9="Problem Solving",10,"99"))))))))))</f>
        <v>3</v>
      </c>
      <c r="S9" s="77" t="s">
        <v>196</v>
      </c>
      <c r="T9" s="32" t="s">
        <v>72</v>
      </c>
      <c r="U9" s="32">
        <f>IF(T9="within",1,0)</f>
        <v>0</v>
      </c>
      <c r="V9" s="32">
        <v>70</v>
      </c>
      <c r="W9" s="32">
        <f>F9*V9</f>
        <v>7000</v>
      </c>
      <c r="X9" s="32">
        <v>3</v>
      </c>
      <c r="Y9" s="41">
        <f>AV8</f>
        <v>900</v>
      </c>
      <c r="Z9" s="32" t="s">
        <v>64</v>
      </c>
      <c r="AA9" s="32">
        <v>5270400</v>
      </c>
      <c r="AB9" s="32" t="str">
        <f>IF(AA9&lt;60,"1",IF(AA9&lt;=43200,"2",IF(AA9&lt;=777600,"3","4")))</f>
        <v>4</v>
      </c>
      <c r="AC9" s="28">
        <f>AVERAGE(AV8:DA8)</f>
        <v>2621100</v>
      </c>
      <c r="AD9" s="32" t="str">
        <f>IF(AC9&lt;60,"1",IF(AC9&lt;=43200,"2",IF(AC9&lt;=777600,"3","4")))</f>
        <v>4</v>
      </c>
      <c r="AE9" s="41">
        <f>AA9-Y9</f>
        <v>5269500</v>
      </c>
      <c r="AF9" s="45">
        <f>AV9</f>
        <v>2.9590711555147919</v>
      </c>
      <c r="AG9" s="28">
        <f>((AW9-AV9)+(AX9-AW9))/2</f>
        <v>-1.1062387191743159</v>
      </c>
      <c r="AH9" s="4"/>
      <c r="AI9" s="28">
        <f>RSQ(AV9:AX9,AV8:AX8)</f>
        <v>0.84816748886484983</v>
      </c>
      <c r="AJ9" s="51">
        <f>SLOPE(AV9:AX9,AV8:AX8)</f>
        <v>-4.1817246119506811E-7</v>
      </c>
      <c r="AK9" s="28">
        <f>INTERCEPT(AV9:AX9,AV8:AX8)</f>
        <v>2.6858502061348957</v>
      </c>
      <c r="AL9" s="28">
        <f>INDEX(LINEST(LN(AV9:AX9),LN(AV8:AX8),TRUE,TRUE),3,1)</f>
        <v>0.96922473602906667</v>
      </c>
      <c r="AM9" s="28">
        <f>INDEX(LINEST(LN(AV9:AX9),LN(AV8:AX8)),1)</f>
        <v>-0.14616358275273308</v>
      </c>
      <c r="AN9" s="28">
        <f>EXP(INDEX(LINEST(LN(AV9:AX9),LN(AV8:AX8)),1,2))</f>
        <v>8.0833740265803389</v>
      </c>
      <c r="AO9" s="47">
        <f>INDEX(LINEST((AV9:AX9),LN(AV8:AX8),TRUE,TRUE),3,1)</f>
        <v>0.99650278101702994</v>
      </c>
      <c r="AP9" s="47">
        <f>INDEX(LINEST((AV9:AX9),LN(AV8:AX8)),1)</f>
        <v>-0.24794127452799736</v>
      </c>
      <c r="AQ9" s="48">
        <f>INDEX(LINEST(LN(AV9:AX9),SQRT(AV8:AX8),TRUE,TRUE),3,1)</f>
        <v>0.99755265679833993</v>
      </c>
      <c r="AR9" s="56">
        <f>INDEX(LINEST(LN(AV9:AX9),SQRT((AV8:AX8))),1)</f>
        <v>-6.1473610817989023E-4</v>
      </c>
      <c r="AS9" s="49">
        <f>INDEX(LINEST(1/(AV9:AX9),1/(SQRT(AV8:AX8)),TRUE,TRUE),3,1)</f>
        <v>0.84673902093995757</v>
      </c>
      <c r="AT9" s="49">
        <f>INDEX(LINEST(1/(AV9:AX9),1/SQRT(AV8:AX8)),1)</f>
        <v>-24.493521246382539</v>
      </c>
      <c r="AU9" s="3"/>
      <c r="AV9" s="25">
        <v>2.9590711555147919</v>
      </c>
      <c r="AW9" s="25">
        <v>1.0636702316085569</v>
      </c>
      <c r="AX9" s="25">
        <v>0.74659371716615985</v>
      </c>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1"/>
      <c r="CS9" s="1"/>
      <c r="CT9" s="1"/>
      <c r="CU9" s="1"/>
    </row>
    <row r="10" spans="1:99" s="9" customFormat="1" ht="12" customHeight="1" x14ac:dyDescent="0.2">
      <c r="A10" s="37">
        <v>43509</v>
      </c>
      <c r="B10" s="1"/>
      <c r="C10" s="1"/>
      <c r="D10" s="32"/>
      <c r="E10" s="41"/>
      <c r="F10" s="32"/>
      <c r="G10" s="32"/>
      <c r="H10" s="32"/>
      <c r="I10" s="32"/>
      <c r="J10" s="32"/>
      <c r="K10" s="36"/>
      <c r="L10" s="36"/>
      <c r="M10" s="32"/>
      <c r="N10" s="32"/>
      <c r="O10" s="32"/>
      <c r="P10" s="32"/>
      <c r="Q10" s="32"/>
      <c r="R10" s="32"/>
      <c r="S10" s="32"/>
      <c r="T10" s="32"/>
      <c r="U10" s="32"/>
      <c r="V10" s="32"/>
      <c r="W10" s="32"/>
      <c r="X10" s="32"/>
      <c r="Y10" s="41"/>
      <c r="Z10" s="32"/>
      <c r="AA10" s="32"/>
      <c r="AB10" s="32"/>
      <c r="AC10" s="32"/>
      <c r="AD10" s="32"/>
      <c r="AE10" s="32"/>
      <c r="AF10" s="45"/>
      <c r="AG10" s="28"/>
      <c r="AH10" s="4"/>
      <c r="AI10" s="28"/>
      <c r="AJ10" s="51"/>
      <c r="AK10" s="28"/>
      <c r="AL10" s="28"/>
      <c r="AM10" s="28"/>
      <c r="AN10" s="28"/>
      <c r="AO10" s="28"/>
      <c r="AP10" s="28"/>
      <c r="AQ10" s="28"/>
      <c r="AR10" s="51"/>
      <c r="AS10" s="28"/>
      <c r="AT10" s="28"/>
      <c r="AU10" s="4"/>
      <c r="AV10" s="18">
        <v>40</v>
      </c>
      <c r="AW10" s="18">
        <f>24*3600</f>
        <v>86400</v>
      </c>
      <c r="AX10" s="18">
        <f>7*24*3600*1</f>
        <v>604800</v>
      </c>
      <c r="AY10" s="18">
        <f>7*24*3600*6</f>
        <v>3628800</v>
      </c>
      <c r="AZ10" s="25" t="s">
        <v>112</v>
      </c>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1"/>
      <c r="CS10" s="1"/>
      <c r="CT10" s="1"/>
      <c r="CU10" s="1"/>
    </row>
    <row r="11" spans="1:99" s="9" customFormat="1" ht="12" customHeight="1" x14ac:dyDescent="0.2">
      <c r="A11" s="37">
        <v>43509</v>
      </c>
      <c r="B11" s="1" t="s">
        <v>51</v>
      </c>
      <c r="C11" s="1" t="s">
        <v>52</v>
      </c>
      <c r="D11" s="32">
        <v>2016</v>
      </c>
      <c r="E11" s="41">
        <v>1</v>
      </c>
      <c r="F11" s="32">
        <v>95</v>
      </c>
      <c r="G11" s="32">
        <v>23.8</v>
      </c>
      <c r="H11" s="32" t="s">
        <v>143</v>
      </c>
      <c r="I11" s="32" t="s">
        <v>139</v>
      </c>
      <c r="J11" s="32" t="s">
        <v>83</v>
      </c>
      <c r="K11" s="32">
        <f>IF(J11="syllables",1,IF(J11="trigrams",2,IF(J11="strings",3,IF(J11="visual array",4,IF(J11="characters",5,IF(J11="letters",6,IF(J11="free forms",7,IF(J11="odors",8,IF(J11="words",9,IF(J11="pictures",10,IF(J11="object pictures",11,IF(J11="faces",12,IF(J11="names",13,IF(J11="idioms",14,IF(J11="grades",15,IF(J11="syllable-digit pairs",16,IF(J11="trigram-word pairs",17,IF(J11="word-digit pairs",18,IF(J11="English-Swahili pairs",19,IF(J11="spatial position",20,IF(J11="word pairs",21,IF(J11="word triads",22,IF(J11="generated words",23,IF(J11="word definition pairs",24,IF(J11="math problems",25,IF(J11="famous faces",26,IF(J11="famous names",27,IF(J11="famous voices",28,IF(J11="television programs",29,IF(J11="race horses",30,IF(J11="new vocabulary",31,IF(J11="sentences",32,IF(J11="concepts",33,IF(J11="ad slides",34,IF(J11="scenes",35,IF(J11="famous scenes",36,IF(J11="poems",37,IF(J11="walk",38,IF(J11="faces and events",39,IF(J11="events and names",40,IF(J11="flashbulb",41,IF(J11="stories",42,IF(J11="course material",43,IF(J11="autobiographical",44,IF(J11="novels",45,IF(J11="public events",46,"99"))))))))))))))))))))))))))))))))))))))))))))))</f>
        <v>7</v>
      </c>
      <c r="L11" s="32">
        <f>IF(J11="syllables",1,IF(J11="trigrams",1,IF(J11="strings",1,IF(J11="visual array",1,IF(J11="characters",1,IF(J11="letters",1,IF(J11="free forms",1,IF(J11="odors",2,IF(J11="words",2,IF(J11="pictures",2,IF(J11="object pictures",2,IF(J11="faces",2,IF(J11="names",2,IF(J11="idioms","2",IF(J11="grades",2,IF(J11="syllable-digit pairs",3,IF(J11="trigram-word pairs",3,IF(J11="word-digit pairs",3,IF(J11="English-Swahili pairs",3,IF(J11="spatial position",3,IF(J11="word pairs",4,IF(J11="word triads",4,IF(J11="generated words",4,IF(J11="word definition pairs",4,IF(J11="math problems",4,IF(J11="famous faces",4,IF(J11="famous names",4,IF(J11="famous voices",4,IF(J11="television programs",4,IF(J11="race horses",4,IF(J11="new vocabulary",4,IF(J11="sentences",5,IF(J11="concepts",5,IF(J11="ad slides",5,IF(J11="scenes",5,IF(J11="famous scenes",5,IF(J11="poems",6,IF(J11="walk",6,IF(J11="faces and events",6,IF(J11="events and names",6,IF(J11="flashbulb",7,IF(J11="stories",7,IF(J11="course material",7,IF(J11="autobiographical",7,IF(J11="novels",7,IF(J11="public events",7,"99"))))))))))))))))))))))))))))))))))))))))))))))</f>
        <v>1</v>
      </c>
      <c r="M11" s="32">
        <v>1</v>
      </c>
      <c r="N11" s="32">
        <v>2</v>
      </c>
      <c r="O11" s="32">
        <v>0</v>
      </c>
      <c r="P11" s="32"/>
      <c r="Q11" s="32" t="s">
        <v>18</v>
      </c>
      <c r="R11" s="32">
        <f>IF(Q11="Free Recall",1,IF(Q11="Cued Recall",2,IF(Q11="Recognition",3,IF(Q11="Multiple Choice",4,IF(Q11="Savings",5,IF(Q11="Stem Completion",6,IF(Q11="Fragment Completion",7,IF(Q11="anagram solution",8,IF(Q11="Matching",9,IF(Q11="Problem Solving",10,"99"))))))))))</f>
        <v>3</v>
      </c>
      <c r="S11" s="77" t="s">
        <v>196</v>
      </c>
      <c r="T11" s="32" t="s">
        <v>72</v>
      </c>
      <c r="U11" s="32">
        <f>IF(T11="within",1,0)</f>
        <v>0</v>
      </c>
      <c r="V11" s="32">
        <v>40</v>
      </c>
      <c r="W11" s="32">
        <f>F11*V11</f>
        <v>3800</v>
      </c>
      <c r="X11" s="32">
        <v>4</v>
      </c>
      <c r="Y11" s="41">
        <f>AV10</f>
        <v>40</v>
      </c>
      <c r="Z11" s="32" t="s">
        <v>53</v>
      </c>
      <c r="AA11" s="32">
        <v>3628800</v>
      </c>
      <c r="AB11" s="32" t="str">
        <f>IF(AA11&lt;60,"1",IF(AA11&lt;=43200,"2",IF(AA11&lt;=777600,"3","4")))</f>
        <v>4</v>
      </c>
      <c r="AC11" s="28">
        <f>AVERAGE(AV10:DA10)</f>
        <v>1080010</v>
      </c>
      <c r="AD11" s="32" t="str">
        <f>IF(AC11&lt;60,"1",IF(AC11&lt;=43200,"2",IF(AC11&lt;=777600,"3","4")))</f>
        <v>4</v>
      </c>
      <c r="AE11" s="41">
        <f>AA11-Y11</f>
        <v>3628760</v>
      </c>
      <c r="AF11" s="45">
        <f>AV11</f>
        <v>1.9195966439696583</v>
      </c>
      <c r="AG11" s="28">
        <f>((AW11-AV11)+(AX11-AW11)+(AY11-AX11))/3</f>
        <v>-0.12730372321219682</v>
      </c>
      <c r="AH11" s="4"/>
      <c r="AI11" s="28">
        <f>RSQ(AV11:AY11,AV10:AY10)</f>
        <v>0.95056289588139609</v>
      </c>
      <c r="AJ11" s="51">
        <f>SLOPE(AV11:AY11,AV10:AY10)</f>
        <v>-1.2107640029589467E-7</v>
      </c>
      <c r="AK11" s="28">
        <f>INTERCEPT(AV11:AY11,AV10:AY10)</f>
        <v>1.9840747002057604</v>
      </c>
      <c r="AL11" s="28">
        <f>INDEX(LINEST(LN(AV11:AY11),LN(AV10:AY10),TRUE,TRUE),3,1)</f>
        <v>0.22858481550131776</v>
      </c>
      <c r="AM11" s="28">
        <f>INDEX(LINEST(LN(AV11:AY11),LN(AV10:AY10)),1)</f>
        <v>-1.1639941262594255E-2</v>
      </c>
      <c r="AN11" s="28">
        <f>EXP(INDEX(LINEST(LN(AV11:AY11),LN(AV10:AY10)),1,2))</f>
        <v>2.091924736358671</v>
      </c>
      <c r="AO11" s="47">
        <f>INDEX(LINEST((AV11:AY11),LN(AV10:AY10),TRUE,TRUE),3,1)</f>
        <v>0.21830565619835771</v>
      </c>
      <c r="AP11" s="47">
        <f>INDEX(LINEST((AV11:AY11),LN(AV10:AY10)),1)</f>
        <v>-1.9866513539872316E-2</v>
      </c>
      <c r="AQ11" s="48">
        <f>INDEX(LINEST(LN(AV11:AY11),SQRT(AV10:AY10),TRUE,TRUE),3,1)</f>
        <v>0.81581940169749612</v>
      </c>
      <c r="AR11" s="56">
        <f>INDEX(LINEST(LN(AV11:AY11),SQRT((AV10:AY10))),1)</f>
        <v>-1.3217507778669901E-4</v>
      </c>
      <c r="AS11" s="49">
        <f>INDEX(LINEST(1/(AV11:AY11),1/(SQRT(AV10:AY10)),TRUE,TRUE),3,1)</f>
        <v>6.0284471408164064E-2</v>
      </c>
      <c r="AT11" s="49">
        <f>INDEX(LINEST(1/(AV11:AY11),1/SQRT(AV10:AY10)),1)</f>
        <v>-0.22112718545828439</v>
      </c>
      <c r="AU11" s="3"/>
      <c r="AV11" s="25">
        <v>1.9195966439696583</v>
      </c>
      <c r="AW11" s="25">
        <v>2.0078355636847913</v>
      </c>
      <c r="AX11" s="25">
        <v>1.9481262265012473</v>
      </c>
      <c r="AY11" s="25">
        <v>1.5376854743330679</v>
      </c>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1"/>
      <c r="CS11" s="1"/>
      <c r="CT11" s="1"/>
      <c r="CU11" s="1"/>
    </row>
    <row r="12" spans="1:99" s="9" customFormat="1" ht="12" customHeight="1" x14ac:dyDescent="0.2">
      <c r="A12" s="37">
        <v>43509</v>
      </c>
      <c r="B12" s="1"/>
      <c r="C12" s="1"/>
      <c r="D12" s="32"/>
      <c r="E12" s="41"/>
      <c r="F12" s="32"/>
      <c r="G12" s="32"/>
      <c r="H12" s="32"/>
      <c r="I12" s="32"/>
      <c r="J12" s="32"/>
      <c r="K12" s="36"/>
      <c r="L12" s="36"/>
      <c r="M12" s="32"/>
      <c r="N12" s="32"/>
      <c r="O12" s="32"/>
      <c r="P12" s="32"/>
      <c r="Q12" s="32"/>
      <c r="R12" s="32"/>
      <c r="S12" s="32"/>
      <c r="T12" s="32"/>
      <c r="U12" s="32"/>
      <c r="V12" s="32"/>
      <c r="W12" s="32"/>
      <c r="X12" s="32"/>
      <c r="Y12" s="41"/>
      <c r="Z12" s="32"/>
      <c r="AA12" s="32"/>
      <c r="AB12" s="32"/>
      <c r="AC12" s="32"/>
      <c r="AD12" s="32"/>
      <c r="AE12" s="32"/>
      <c r="AF12" s="45"/>
      <c r="AG12" s="28"/>
      <c r="AH12" s="4"/>
      <c r="AI12" s="28"/>
      <c r="AJ12" s="51"/>
      <c r="AK12" s="28"/>
      <c r="AL12" s="28"/>
      <c r="AM12" s="28"/>
      <c r="AN12" s="28"/>
      <c r="AO12" s="28"/>
      <c r="AP12" s="28"/>
      <c r="AQ12" s="28"/>
      <c r="AR12" s="51"/>
      <c r="AS12" s="28"/>
      <c r="AT12" s="28"/>
      <c r="AU12" s="4"/>
      <c r="AV12" s="18">
        <v>40</v>
      </c>
      <c r="AW12" s="18">
        <f>24*3600</f>
        <v>86400</v>
      </c>
      <c r="AX12" s="18">
        <f>7*24*3600*1</f>
        <v>604800</v>
      </c>
      <c r="AY12" s="18">
        <f>7*24*3600*6</f>
        <v>3628800</v>
      </c>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1"/>
      <c r="CS12" s="1"/>
      <c r="CT12" s="1"/>
      <c r="CU12" s="1"/>
    </row>
    <row r="13" spans="1:99" s="9" customFormat="1" ht="12" customHeight="1" x14ac:dyDescent="0.2">
      <c r="A13" s="37">
        <v>43509</v>
      </c>
      <c r="B13" s="1" t="s">
        <v>51</v>
      </c>
      <c r="C13" s="1" t="s">
        <v>52</v>
      </c>
      <c r="D13" s="32">
        <v>2016</v>
      </c>
      <c r="E13" s="41">
        <v>1</v>
      </c>
      <c r="F13" s="32">
        <v>95</v>
      </c>
      <c r="G13" s="32">
        <v>23.8</v>
      </c>
      <c r="H13" s="32" t="s">
        <v>143</v>
      </c>
      <c r="I13" s="32" t="s">
        <v>140</v>
      </c>
      <c r="J13" s="32" t="s">
        <v>83</v>
      </c>
      <c r="K13" s="32">
        <f>IF(J13="syllables",1,IF(J13="trigrams",2,IF(J13="strings",3,IF(J13="visual array",4,IF(J13="characters",5,IF(J13="letters",6,IF(J13="free forms",7,IF(J13="odors",8,IF(J13="words",9,IF(J13="pictures",10,IF(J13="object pictures",11,IF(J13="faces",12,IF(J13="names",13,IF(J13="idioms",14,IF(J13="grades",15,IF(J13="syllable-digit pairs",16,IF(J13="trigram-word pairs",17,IF(J13="word-digit pairs",18,IF(J13="English-Swahili pairs",19,IF(J13="spatial position",20,IF(J13="word pairs",21,IF(J13="word triads",22,IF(J13="generated words",23,IF(J13="word definition pairs",24,IF(J13="math problems",25,IF(J13="famous faces",26,IF(J13="famous names",27,IF(J13="famous voices",28,IF(J13="television programs",29,IF(J13="race horses",30,IF(J13="new vocabulary",31,IF(J13="sentences",32,IF(J13="concepts",33,IF(J13="ad slides",34,IF(J13="scenes",35,IF(J13="famous scenes",36,IF(J13="poems",37,IF(J13="walk",38,IF(J13="faces and events",39,IF(J13="events and names",40,IF(J13="flashbulb",41,IF(J13="stories",42,IF(J13="course material",43,IF(J13="autobiographical",44,IF(J13="novels",45,IF(J13="public events",46,"99"))))))))))))))))))))))))))))))))))))))))))))))</f>
        <v>7</v>
      </c>
      <c r="L13" s="32">
        <f>IF(J13="syllables",1,IF(J13="trigrams",1,IF(J13="strings",1,IF(J13="visual array",1,IF(J13="characters",1,IF(J13="letters",1,IF(J13="free forms",1,IF(J13="odors",2,IF(J13="words",2,IF(J13="pictures",2,IF(J13="object pictures",2,IF(J13="faces",2,IF(J13="names",2,IF(J13="idioms","2",IF(J13="grades",2,IF(J13="syllable-digit pairs",3,IF(J13="trigram-word pairs",3,IF(J13="word-digit pairs",3,IF(J13="English-Swahili pairs",3,IF(J13="spatial position",3,IF(J13="word pairs",4,IF(J13="word triads",4,IF(J13="generated words",4,IF(J13="word definition pairs",4,IF(J13="math problems",4,IF(J13="famous faces",4,IF(J13="famous names",4,IF(J13="famous voices",4,IF(J13="television programs",4,IF(J13="race horses",4,IF(J13="new vocabulary",4,IF(J13="sentences",5,IF(J13="concepts",5,IF(J13="ad slides",5,IF(J13="scenes",5,IF(J13="famous scenes",5,IF(J13="poems",6,IF(J13="walk",6,IF(J13="faces and events",6,IF(J13="events and names",6,IF(J13="flashbulb",7,IF(J13="stories",7,IF(J13="course material",7,IF(J13="autobiographical",7,IF(J13="novels",7,IF(J13="public events",7,"99"))))))))))))))))))))))))))))))))))))))))))))))</f>
        <v>1</v>
      </c>
      <c r="M13" s="32">
        <v>0</v>
      </c>
      <c r="N13" s="32">
        <v>1</v>
      </c>
      <c r="O13" s="32">
        <v>0</v>
      </c>
      <c r="P13" s="32"/>
      <c r="Q13" s="32" t="s">
        <v>18</v>
      </c>
      <c r="R13" s="32">
        <f>IF(Q13="Free Recall",1,IF(Q13="Cued Recall",2,IF(Q13="Recognition",3,IF(Q13="Multiple Choice",4,IF(Q13="Savings",5,IF(Q13="Stem Completion",6,IF(Q13="Fragment Completion",7,IF(Q13="anagram solution",8,IF(Q13="Matching",9,IF(Q13="Problem Solving",10,"99"))))))))))</f>
        <v>3</v>
      </c>
      <c r="S13" s="77" t="s">
        <v>196</v>
      </c>
      <c r="T13" s="32" t="s">
        <v>72</v>
      </c>
      <c r="U13" s="32">
        <f>IF(T13="within",1,0)</f>
        <v>0</v>
      </c>
      <c r="V13" s="32">
        <v>40</v>
      </c>
      <c r="W13" s="32">
        <f>F13*V13</f>
        <v>3800</v>
      </c>
      <c r="X13" s="32">
        <v>4</v>
      </c>
      <c r="Y13" s="41">
        <f>AV12</f>
        <v>40</v>
      </c>
      <c r="Z13" s="32" t="s">
        <v>53</v>
      </c>
      <c r="AA13" s="32">
        <v>3628800</v>
      </c>
      <c r="AB13" s="32" t="str">
        <f>IF(AA13&lt;60,"1",IF(AA13&lt;=43200,"2",IF(AA13&lt;=777600,"3","4")))</f>
        <v>4</v>
      </c>
      <c r="AC13" s="28">
        <f>AVERAGE(AV12:DA12)</f>
        <v>1080010</v>
      </c>
      <c r="AD13" s="32" t="str">
        <f>IF(AC13&lt;60,"1",IF(AC13&lt;=43200,"2",IF(AC13&lt;=777600,"3","4")))</f>
        <v>4</v>
      </c>
      <c r="AE13" s="41">
        <f>AA13-Y13</f>
        <v>3628760</v>
      </c>
      <c r="AF13" s="45">
        <f>AV13</f>
        <v>1.0796653968408882</v>
      </c>
      <c r="AG13" s="28">
        <f>((AW13-AV13)+(AX13-AW13)+(AY13-AX13))/3</f>
        <v>-0.23249417254712426</v>
      </c>
      <c r="AH13" s="4"/>
      <c r="AI13" s="28">
        <f>RSQ(AV13:AY13,AV12:AY12)</f>
        <v>0.82195991961340908</v>
      </c>
      <c r="AJ13" s="51">
        <f>SLOPE(AV13:AY13,AV12:AY12)</f>
        <v>-1.7551162227100594E-7</v>
      </c>
      <c r="AK13" s="28">
        <f>INTERCEPT(AV13:AY13,AV12:AY12)</f>
        <v>0.98650823083557937</v>
      </c>
      <c r="AL13" s="28">
        <f>INDEX(LINEST(LN(AV13:AY13),LN(AV12:AY12),TRUE,TRUE),3,1)</f>
        <v>0.57455131686228722</v>
      </c>
      <c r="AM13" s="28">
        <f>INDEX(LINEST(LN(AV13:AY13),LN(AV12:AY12)),1)</f>
        <v>-7.3519163835050028E-2</v>
      </c>
      <c r="AN13" s="28">
        <f>EXP(INDEX(LINEST(LN(AV13:AY13),LN(AV12:AY12)),1,2))</f>
        <v>1.6350275670012504</v>
      </c>
      <c r="AO13" s="47">
        <f>INDEX(LINEST((AV13:AY13),LN(AV12:AY12),TRUE,TRUE),3,1)</f>
        <v>0.62314339112810069</v>
      </c>
      <c r="AP13" s="47">
        <f>INDEX(LINEST((AV13:AY13),LN(AV12:AY12)),1)</f>
        <v>-5.2323242383837662E-2</v>
      </c>
      <c r="AQ13" s="48">
        <f>INDEX(LINEST(LN(AV13:AY13),SQRT(AV12:AY12),TRUE,TRUE),3,1)</f>
        <v>0.97684781933930531</v>
      </c>
      <c r="AR13" s="56">
        <f>INDEX(LINEST(LN(AV13:AY13),SQRT((AV12:AY12))),1)</f>
        <v>-5.7620239940363435E-4</v>
      </c>
      <c r="AS13" s="49">
        <f>INDEX(LINEST(1/(AV13:AY13),1/(SQRT(AV12:AY12)),TRUE,TRUE),3,1)</f>
        <v>0.24097221419566045</v>
      </c>
      <c r="AT13" s="49">
        <f>INDEX(LINEST(1/(AV13:AY13),1/SQRT(AV12:AY12)),1)</f>
        <v>-4.9675148811115015</v>
      </c>
      <c r="AU13" s="3"/>
      <c r="AV13" s="25">
        <v>1.0796653968408882</v>
      </c>
      <c r="AW13" s="25">
        <v>1.052658466739713</v>
      </c>
      <c r="AX13" s="25">
        <v>0.6733089518865647</v>
      </c>
      <c r="AY13" s="25">
        <v>0.38218287919951538</v>
      </c>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1"/>
      <c r="CS13" s="1"/>
      <c r="CT13" s="1"/>
      <c r="CU13" s="1"/>
    </row>
    <row r="14" spans="1:99" s="9" customFormat="1" ht="12" customHeight="1" x14ac:dyDescent="0.2">
      <c r="A14" s="37">
        <v>43509</v>
      </c>
      <c r="B14" s="1"/>
      <c r="C14" s="1"/>
      <c r="D14" s="32"/>
      <c r="E14" s="41"/>
      <c r="F14" s="32"/>
      <c r="G14" s="32"/>
      <c r="H14" s="32"/>
      <c r="I14" s="32"/>
      <c r="J14" s="32"/>
      <c r="K14" s="36"/>
      <c r="L14" s="36"/>
      <c r="M14" s="32"/>
      <c r="N14" s="32"/>
      <c r="O14" s="32"/>
      <c r="P14" s="32"/>
      <c r="Q14" s="32"/>
      <c r="R14" s="32"/>
      <c r="S14" s="77"/>
      <c r="T14" s="32"/>
      <c r="U14" s="32"/>
      <c r="V14" s="32"/>
      <c r="W14" s="32"/>
      <c r="X14" s="32"/>
      <c r="Y14" s="41"/>
      <c r="Z14" s="32"/>
      <c r="AA14" s="32"/>
      <c r="AB14" s="32"/>
      <c r="AC14" s="32"/>
      <c r="AD14" s="32"/>
      <c r="AE14" s="32"/>
      <c r="AF14" s="45"/>
      <c r="AG14" s="28"/>
      <c r="AH14" s="4"/>
      <c r="AI14" s="28"/>
      <c r="AJ14" s="51"/>
      <c r="AK14" s="28"/>
      <c r="AL14" s="28"/>
      <c r="AM14" s="28"/>
      <c r="AN14" s="28"/>
      <c r="AO14" s="28"/>
      <c r="AP14" s="28"/>
      <c r="AQ14" s="28"/>
      <c r="AR14" s="51"/>
      <c r="AS14" s="28"/>
      <c r="AT14" s="28"/>
      <c r="AU14" s="4"/>
      <c r="AV14" s="18">
        <v>40</v>
      </c>
      <c r="AW14" s="18">
        <f>24*3600</f>
        <v>86400</v>
      </c>
      <c r="AX14" s="18">
        <f>7*24*3600*1</f>
        <v>604800</v>
      </c>
      <c r="AY14" s="18">
        <f>7*24*3600*6</f>
        <v>3628800</v>
      </c>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1"/>
      <c r="CS14" s="1"/>
      <c r="CT14" s="1"/>
      <c r="CU14" s="1"/>
    </row>
    <row r="15" spans="1:99" s="9" customFormat="1" ht="12" customHeight="1" x14ac:dyDescent="0.2">
      <c r="A15" s="37">
        <v>43509</v>
      </c>
      <c r="B15" s="1" t="s">
        <v>51</v>
      </c>
      <c r="C15" s="1" t="s">
        <v>52</v>
      </c>
      <c r="D15" s="32">
        <v>2016</v>
      </c>
      <c r="E15" s="41">
        <v>1</v>
      </c>
      <c r="F15" s="32">
        <v>95</v>
      </c>
      <c r="G15" s="32">
        <v>23.8</v>
      </c>
      <c r="H15" s="32" t="s">
        <v>143</v>
      </c>
      <c r="I15" s="32" t="s">
        <v>141</v>
      </c>
      <c r="J15" s="32" t="s">
        <v>83</v>
      </c>
      <c r="K15" s="32">
        <f>IF(J15="syllables",1,IF(J15="trigrams",2,IF(J15="strings",3,IF(J15="visual array",4,IF(J15="characters",5,IF(J15="letters",6,IF(J15="free forms",7,IF(J15="odors",8,IF(J15="words",9,IF(J15="pictures",10,IF(J15="object pictures",11,IF(J15="faces",12,IF(J15="names",13,IF(J15="idioms",14,IF(J15="grades",15,IF(J15="syllable-digit pairs",16,IF(J15="trigram-word pairs",17,IF(J15="word-digit pairs",18,IF(J15="English-Swahili pairs",19,IF(J15="spatial position",20,IF(J15="word pairs",21,IF(J15="word triads",22,IF(J15="generated words",23,IF(J15="word definition pairs",24,IF(J15="math problems",25,IF(J15="famous faces",26,IF(J15="famous names",27,IF(J15="famous voices",28,IF(J15="television programs",29,IF(J15="race horses",30,IF(J15="new vocabulary",31,IF(J15="sentences",32,IF(J15="concepts",33,IF(J15="ad slides",34,IF(J15="scenes",35,IF(J15="famous scenes",36,IF(J15="poems",37,IF(J15="walk",38,IF(J15="faces and events",39,IF(J15="events and names",40,IF(J15="flashbulb",41,IF(J15="stories",42,IF(J15="course material",43,IF(J15="autobiographical",44,IF(J15="novels",45,IF(J15="public events",46,"99"))))))))))))))))))))))))))))))))))))))))))))))</f>
        <v>7</v>
      </c>
      <c r="L15" s="32">
        <f>IF(J15="syllables",1,IF(J15="trigrams",1,IF(J15="strings",1,IF(J15="visual array",1,IF(J15="characters",1,IF(J15="letters",1,IF(J15="free forms",1,IF(J15="odors",2,IF(J15="words",2,IF(J15="pictures",2,IF(J15="object pictures",2,IF(J15="faces",2,IF(J15="names",2,IF(J15="idioms","2",IF(J15="grades",2,IF(J15="syllable-digit pairs",3,IF(J15="trigram-word pairs",3,IF(J15="word-digit pairs",3,IF(J15="English-Swahili pairs",3,IF(J15="spatial position",3,IF(J15="word pairs",4,IF(J15="word triads",4,IF(J15="generated words",4,IF(J15="word definition pairs",4,IF(J15="math problems",4,IF(J15="famous faces",4,IF(J15="famous names",4,IF(J15="famous voices",4,IF(J15="television programs",4,IF(J15="race horses",4,IF(J15="new vocabulary",4,IF(J15="sentences",5,IF(J15="concepts",5,IF(J15="ad slides",5,IF(J15="scenes",5,IF(J15="famous scenes",5,IF(J15="poems",6,IF(J15="walk",6,IF(J15="faces and events",6,IF(J15="events and names",6,IF(J15="flashbulb",7,IF(J15="stories",7,IF(J15="course material",7,IF(J15="autobiographical",7,IF(J15="novels",7,IF(J15="public events",7,"99"))))))))))))))))))))))))))))))))))))))))))))))</f>
        <v>1</v>
      </c>
      <c r="M15" s="32">
        <v>1</v>
      </c>
      <c r="N15" s="32">
        <v>2</v>
      </c>
      <c r="O15" s="32">
        <v>0</v>
      </c>
      <c r="P15" s="32"/>
      <c r="Q15" s="32" t="s">
        <v>18</v>
      </c>
      <c r="R15" s="32">
        <f>IF(Q15="Free Recall",1,IF(Q15="Cued Recall",2,IF(Q15="Recognition",3,IF(Q15="Multiple Choice",4,IF(Q15="Savings",5,IF(Q15="Stem Completion",6,IF(Q15="Fragment Completion",7,IF(Q15="anagram solution",8,IF(Q15="Matching",9,IF(Q15="Problem Solving",10,"99"))))))))))</f>
        <v>3</v>
      </c>
      <c r="S15" s="77" t="s">
        <v>196</v>
      </c>
      <c r="T15" s="32" t="s">
        <v>72</v>
      </c>
      <c r="U15" s="32">
        <f>IF(T15="within",1,0)</f>
        <v>0</v>
      </c>
      <c r="V15" s="32">
        <v>40</v>
      </c>
      <c r="W15" s="32">
        <f>F15*V15</f>
        <v>3800</v>
      </c>
      <c r="X15" s="32">
        <v>4</v>
      </c>
      <c r="Y15" s="41">
        <f>AV14</f>
        <v>40</v>
      </c>
      <c r="Z15" s="32" t="s">
        <v>53</v>
      </c>
      <c r="AA15" s="32">
        <v>3628800</v>
      </c>
      <c r="AB15" s="32" t="str">
        <f>IF(AA15&lt;60,"1",IF(AA15&lt;=43200,"2",IF(AA15&lt;=777600,"3","4")))</f>
        <v>4</v>
      </c>
      <c r="AC15" s="28">
        <f>AVERAGE(AV14:DA14)</f>
        <v>1080010</v>
      </c>
      <c r="AD15" s="32" t="str">
        <f>IF(AC15&lt;60,"1",IF(AC15&lt;=43200,"2",IF(AC15&lt;=777600,"3","4")))</f>
        <v>4</v>
      </c>
      <c r="AE15" s="41">
        <f>AA15-Y15</f>
        <v>3628760</v>
      </c>
      <c r="AF15" s="45">
        <f>AV15</f>
        <v>1.3104067414390375</v>
      </c>
      <c r="AG15" s="28">
        <f>((AW15-AV15)+(AX15-AW15)+(AY15-AX15))/3</f>
        <v>-0.24194432179366834</v>
      </c>
      <c r="AH15" s="4"/>
      <c r="AI15" s="28">
        <f>RSQ(AV15:AY15,AV14:AY14)</f>
        <v>0.95306447815717266</v>
      </c>
      <c r="AJ15" s="51">
        <f>SLOPE(AV15:AY15,AV14:AY14)</f>
        <v>-1.8675118267387848E-7</v>
      </c>
      <c r="AK15" s="28">
        <f>INTERCEPT(AV15:AY15,AV14:AY14)</f>
        <v>1.2708902108052862</v>
      </c>
      <c r="AL15" s="28">
        <f>INDEX(LINEST(LN(AV15:AY15),LN(AV14:AY14),TRUE,TRUE),3,1)</f>
        <v>0.41677189928457387</v>
      </c>
      <c r="AM15" s="28">
        <f>INDEX(LINEST(LN(AV15:AY15),LN(AV14:AY14)),1)</f>
        <v>-4.8192523586078895E-2</v>
      </c>
      <c r="AN15" s="28">
        <f>EXP(INDEX(LINEST(LN(AV15:AY15),LN(AV14:AY14)),1,2))</f>
        <v>1.7234008942745653</v>
      </c>
      <c r="AO15" s="47">
        <f>INDEX(LINEST((AV15:AY15),LN(AV14:AY14),TRUE,TRUE),3,1)</f>
        <v>0.45992475396197069</v>
      </c>
      <c r="AP15" s="47">
        <f>INDEX(LINEST((AV15:AY15),LN(AV14:AY14)),1)</f>
        <v>-4.441868564697083E-2</v>
      </c>
      <c r="AQ15" s="48">
        <f>INDEX(LINEST(LN(AV15:AY15),SQRT(AV14:AY14),TRUE,TRUE),3,1)</f>
        <v>0.88017662671477215</v>
      </c>
      <c r="AR15" s="56">
        <f>INDEX(LINEST(LN(AV15:AY15),SQRT((AV14:AY14))),1)</f>
        <v>-4.2095999907145669E-4</v>
      </c>
      <c r="AS15" s="49">
        <f>INDEX(LINEST(1/(AV15:AY15),1/(SQRT(AV14:AY14)),TRUE,TRUE),3,1)</f>
        <v>0.17448100483286694</v>
      </c>
      <c r="AT15" s="49">
        <f>INDEX(LINEST(1/(AV15:AY15),1/SQRT(AV14:AY14)),1)</f>
        <v>-2.4032161006600474</v>
      </c>
      <c r="AU15" s="3"/>
      <c r="AV15" s="25">
        <v>1.3104067414390375</v>
      </c>
      <c r="AW15" s="25">
        <v>1.1582831230007855</v>
      </c>
      <c r="AX15" s="25">
        <v>1.2235246235248269</v>
      </c>
      <c r="AY15" s="25">
        <v>0.5845737760580324</v>
      </c>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1"/>
      <c r="CS15" s="1"/>
      <c r="CT15" s="1"/>
      <c r="CU15" s="1"/>
    </row>
    <row r="16" spans="1:99" s="9" customFormat="1" ht="12" customHeight="1" x14ac:dyDescent="0.2">
      <c r="A16" s="37">
        <v>43509</v>
      </c>
      <c r="B16" s="1"/>
      <c r="C16" s="1"/>
      <c r="D16" s="32"/>
      <c r="E16" s="41"/>
      <c r="F16" s="32"/>
      <c r="G16" s="32"/>
      <c r="H16" s="32"/>
      <c r="I16" s="32"/>
      <c r="J16" s="32"/>
      <c r="K16" s="36"/>
      <c r="L16" s="36"/>
      <c r="M16" s="32"/>
      <c r="N16" s="32"/>
      <c r="O16" s="32"/>
      <c r="P16" s="32"/>
      <c r="Q16" s="32"/>
      <c r="R16" s="32"/>
      <c r="S16" s="32"/>
      <c r="T16" s="32"/>
      <c r="U16" s="32"/>
      <c r="V16" s="32"/>
      <c r="W16" s="32"/>
      <c r="X16" s="32"/>
      <c r="Y16" s="41"/>
      <c r="Z16" s="32"/>
      <c r="AA16" s="32"/>
      <c r="AB16" s="32"/>
      <c r="AC16" s="32"/>
      <c r="AD16" s="32"/>
      <c r="AE16" s="32"/>
      <c r="AF16" s="45"/>
      <c r="AG16" s="28"/>
      <c r="AH16" s="4"/>
      <c r="AI16" s="28"/>
      <c r="AJ16" s="51"/>
      <c r="AK16" s="28"/>
      <c r="AL16" s="28"/>
      <c r="AM16" s="28"/>
      <c r="AN16" s="28"/>
      <c r="AO16" s="28"/>
      <c r="AP16" s="28"/>
      <c r="AQ16" s="28"/>
      <c r="AR16" s="51"/>
      <c r="AS16" s="28"/>
      <c r="AT16" s="28"/>
      <c r="AU16" s="4"/>
      <c r="AV16" s="18">
        <v>40</v>
      </c>
      <c r="AW16" s="18">
        <f>24*3600</f>
        <v>86400</v>
      </c>
      <c r="AX16" s="18">
        <f>7*24*3600*1</f>
        <v>604800</v>
      </c>
      <c r="AY16" s="18">
        <f>7*24*3600*6</f>
        <v>3628800</v>
      </c>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1"/>
      <c r="CS16" s="1"/>
      <c r="CT16" s="1"/>
      <c r="CU16" s="1"/>
    </row>
    <row r="17" spans="1:99" s="9" customFormat="1" ht="12" customHeight="1" x14ac:dyDescent="0.2">
      <c r="A17" s="37">
        <v>43509</v>
      </c>
      <c r="B17" s="1" t="s">
        <v>51</v>
      </c>
      <c r="C17" s="1" t="s">
        <v>52</v>
      </c>
      <c r="D17" s="32">
        <v>2016</v>
      </c>
      <c r="E17" s="41">
        <v>1</v>
      </c>
      <c r="F17" s="32">
        <v>95</v>
      </c>
      <c r="G17" s="32">
        <v>23.8</v>
      </c>
      <c r="H17" s="32" t="s">
        <v>143</v>
      </c>
      <c r="I17" s="32" t="s">
        <v>142</v>
      </c>
      <c r="J17" s="32" t="s">
        <v>83</v>
      </c>
      <c r="K17" s="32">
        <f>IF(J17="syllables",1,IF(J17="trigrams",2,IF(J17="strings",3,IF(J17="visual array",4,IF(J17="characters",5,IF(J17="letters",6,IF(J17="free forms",7,IF(J17="odors",8,IF(J17="words",9,IF(J17="pictures",10,IF(J17="object pictures",11,IF(J17="faces",12,IF(J17="names",13,IF(J17="idioms",14,IF(J17="grades",15,IF(J17="syllable-digit pairs",16,IF(J17="trigram-word pairs",17,IF(J17="word-digit pairs",18,IF(J17="English-Swahili pairs",19,IF(J17="spatial position",20,IF(J17="word pairs",21,IF(J17="word triads",22,IF(J17="generated words",23,IF(J17="word definition pairs",24,IF(J17="math problems",25,IF(J17="famous faces",26,IF(J17="famous names",27,IF(J17="famous voices",28,IF(J17="television programs",29,IF(J17="race horses",30,IF(J17="new vocabulary",31,IF(J17="sentences",32,IF(J17="concepts",33,IF(J17="ad slides",34,IF(J17="scenes",35,IF(J17="famous scenes",36,IF(J17="poems",37,IF(J17="walk",38,IF(J17="faces and events",39,IF(J17="events and names",40,IF(J17="flashbulb",41,IF(J17="stories",42,IF(J17="course material",43,IF(J17="autobiographical",44,IF(J17="novels",45,IF(J17="public events",46,"99"))))))))))))))))))))))))))))))))))))))))))))))</f>
        <v>7</v>
      </c>
      <c r="L17" s="32">
        <f>IF(J17="syllables",1,IF(J17="trigrams",1,IF(J17="strings",1,IF(J17="visual array",1,IF(J17="characters",1,IF(J17="letters",1,IF(J17="free forms",1,IF(J17="odors",2,IF(J17="words",2,IF(J17="pictures",2,IF(J17="object pictures",2,IF(J17="faces",2,IF(J17="names",2,IF(J17="idioms","2",IF(J17="grades",2,IF(J17="syllable-digit pairs",3,IF(J17="trigram-word pairs",3,IF(J17="word-digit pairs",3,IF(J17="English-Swahili pairs",3,IF(J17="spatial position",3,IF(J17="word pairs",4,IF(J17="word triads",4,IF(J17="generated words",4,IF(J17="word definition pairs",4,IF(J17="math problems",4,IF(J17="famous faces",4,IF(J17="famous names",4,IF(J17="famous voices",4,IF(J17="television programs",4,IF(J17="race horses",4,IF(J17="new vocabulary",4,IF(J17="sentences",5,IF(J17="concepts",5,IF(J17="ad slides",5,IF(J17="scenes",5,IF(J17="famous scenes",5,IF(J17="poems",6,IF(J17="walk",6,IF(J17="faces and events",6,IF(J17="events and names",6,IF(J17="flashbulb",7,IF(J17="stories",7,IF(J17="course material",7,IF(J17="autobiographical",7,IF(J17="novels",7,IF(J17="public events",7,"99"))))))))))))))))))))))))))))))))))))))))))))))</f>
        <v>1</v>
      </c>
      <c r="M17" s="32">
        <v>0</v>
      </c>
      <c r="N17" s="32">
        <v>1</v>
      </c>
      <c r="O17" s="32">
        <v>0</v>
      </c>
      <c r="P17" s="32"/>
      <c r="Q17" s="32" t="s">
        <v>18</v>
      </c>
      <c r="R17" s="32">
        <f>IF(Q17="Free Recall",1,IF(Q17="Cued Recall",2,IF(Q17="Recognition",3,IF(Q17="Multiple Choice",4,IF(Q17="Savings",5,IF(Q17="Stem Completion",6,IF(Q17="Fragment Completion",7,IF(Q17="anagram solution",8,IF(Q17="Matching",9,IF(Q17="Problem Solving",10,"99"))))))))))</f>
        <v>3</v>
      </c>
      <c r="S17" s="77" t="s">
        <v>196</v>
      </c>
      <c r="T17" s="32" t="s">
        <v>72</v>
      </c>
      <c r="U17" s="32">
        <f>IF(T17="within",1,0)</f>
        <v>0</v>
      </c>
      <c r="V17" s="32">
        <v>40</v>
      </c>
      <c r="W17" s="32">
        <f>F17*V17</f>
        <v>3800</v>
      </c>
      <c r="X17" s="32">
        <v>4</v>
      </c>
      <c r="Y17" s="41">
        <f>AV16</f>
        <v>40</v>
      </c>
      <c r="Z17" s="32" t="s">
        <v>53</v>
      </c>
      <c r="AA17" s="32">
        <v>3628800</v>
      </c>
      <c r="AB17" s="32" t="str">
        <f>IF(AA17&lt;60,"1",IF(AA17&lt;=43200,"2",IF(AA17&lt;=777600,"3","4")))</f>
        <v>4</v>
      </c>
      <c r="AC17" s="28">
        <f>AVERAGE(AV16:DA16)</f>
        <v>1080010</v>
      </c>
      <c r="AD17" s="32" t="str">
        <f>IF(AC17&lt;60,"1",IF(AC17&lt;=43200,"2",IF(AC17&lt;=777600,"3","4")))</f>
        <v>4</v>
      </c>
      <c r="AE17" s="41">
        <f>AA17-Y17</f>
        <v>3628760</v>
      </c>
      <c r="AF17" s="45">
        <f>AV17</f>
        <v>0.58367181086701547</v>
      </c>
      <c r="AG17" s="28">
        <f>((AW17-AV17)+(AX17-AW17)+(AY17-AX17))/3</f>
        <v>-0.18403311030041805</v>
      </c>
      <c r="AH17" s="4"/>
      <c r="AI17" s="28">
        <f>RSQ(AV17:AY17,AV16:AY16)</f>
        <v>0.97645908503657486</v>
      </c>
      <c r="AJ17" s="51">
        <f>SLOPE(AV17:AY17,AV16:AY16)</f>
        <v>-1.4102281082407653E-7</v>
      </c>
      <c r="AK17" s="28">
        <f>INTERCEPT(AV17:AY17,AV16:AY16)</f>
        <v>0.53601257612062958</v>
      </c>
      <c r="AL17" s="28">
        <f>INDEX(LINEST(LN(AV17:AY17),LN(AV16:AY16),TRUE,TRUE),3,1)</f>
        <v>0.40580334274333918</v>
      </c>
      <c r="AM17" s="28">
        <f>INDEX(LINEST(LN(AV17:AY17),LN(AV16:AY16)),1)</f>
        <v>-0.17559401246769624</v>
      </c>
      <c r="AN17" s="28">
        <f>EXP(INDEX(LINEST(LN(AV17:AY17),LN(AV16:AY16)),1,2))</f>
        <v>1.679210133214903</v>
      </c>
      <c r="AO17" s="47">
        <f>INDEX(LINEST((AV17:AY17),LN(AV16:AY16),TRUE,TRUE),3,1)</f>
        <v>0.5739393303978868</v>
      </c>
      <c r="AP17" s="47">
        <f>INDEX(LINEST((AV17:AY17),LN(AV16:AY16)),1)</f>
        <v>-3.7018211020092284E-2</v>
      </c>
      <c r="AQ17" s="48">
        <f>INDEX(LINEST(LN(AV17:AY17),SQRT(AV16:AY16),TRUE,TRUE),3,1)</f>
        <v>0.92129585407996051</v>
      </c>
      <c r="AR17" s="56">
        <f>INDEX(LINEST(LN(AV17:AY17),SQRT((AV16:AY16))),1)</f>
        <v>-1.5902921354478438E-3</v>
      </c>
      <c r="AS17" s="49">
        <f>INDEX(LINEST(1/(AV17:AY17),1/(SQRT(AV16:AY16)),TRUE,TRUE),3,1)</f>
        <v>0.1283831282883186</v>
      </c>
      <c r="AT17" s="49">
        <f>INDEX(LINEST(1/(AV17:AY17),1/SQRT(AV16:AY16)),1)</f>
        <v>-67.906791264122717</v>
      </c>
      <c r="AU17" s="3"/>
      <c r="AV17" s="25">
        <v>0.58367181086701547</v>
      </c>
      <c r="AW17" s="25">
        <v>0.51082649346280551</v>
      </c>
      <c r="AX17" s="25">
        <v>0.40875533651449225</v>
      </c>
      <c r="AY17" s="25">
        <v>3.1572479965761291E-2</v>
      </c>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1"/>
      <c r="CS17" s="1"/>
      <c r="CT17" s="1"/>
      <c r="CU17" s="1"/>
    </row>
    <row r="18" spans="1:99" s="15" customFormat="1" ht="12" customHeight="1" x14ac:dyDescent="0.2">
      <c r="A18" s="37">
        <v>43509</v>
      </c>
      <c r="B18" s="13"/>
      <c r="C18" s="13"/>
      <c r="D18" s="34"/>
      <c r="E18" s="43"/>
      <c r="F18" s="34"/>
      <c r="G18" s="34"/>
      <c r="H18" s="34"/>
      <c r="I18" s="34"/>
      <c r="J18" s="34"/>
      <c r="K18" s="36"/>
      <c r="L18" s="36"/>
      <c r="M18" s="34"/>
      <c r="N18" s="34"/>
      <c r="O18" s="34"/>
      <c r="P18" s="34"/>
      <c r="Q18" s="34"/>
      <c r="R18" s="32"/>
      <c r="S18" s="34"/>
      <c r="T18" s="34"/>
      <c r="U18" s="32"/>
      <c r="V18" s="34"/>
      <c r="W18" s="32"/>
      <c r="X18" s="34"/>
      <c r="Y18" s="41"/>
      <c r="Z18" s="34"/>
      <c r="AA18" s="34"/>
      <c r="AB18" s="32"/>
      <c r="AC18" s="32"/>
      <c r="AD18" s="32"/>
      <c r="AE18" s="32"/>
      <c r="AF18" s="45"/>
      <c r="AG18" s="28"/>
      <c r="AH18" s="4"/>
      <c r="AI18" s="50"/>
      <c r="AJ18" s="53"/>
      <c r="AK18" s="50"/>
      <c r="AL18" s="50"/>
      <c r="AM18" s="50"/>
      <c r="AN18" s="50"/>
      <c r="AO18" s="50"/>
      <c r="AP18" s="50"/>
      <c r="AQ18" s="28"/>
      <c r="AR18" s="51"/>
      <c r="AS18" s="28"/>
      <c r="AT18" s="28"/>
      <c r="AU18" s="4"/>
      <c r="AV18" s="18">
        <f>60</f>
        <v>60</v>
      </c>
      <c r="AW18" s="18">
        <f>3600</f>
        <v>3600</v>
      </c>
      <c r="AX18" s="18">
        <f>24*3600</f>
        <v>86400</v>
      </c>
      <c r="AY18" s="18">
        <f>7*24*3600</f>
        <v>604800</v>
      </c>
      <c r="AZ18" s="18">
        <f>14*24*3600</f>
        <v>1209600</v>
      </c>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3"/>
      <c r="CS18" s="13"/>
      <c r="CT18" s="13"/>
      <c r="CU18" s="13"/>
    </row>
    <row r="19" spans="1:99" s="15" customFormat="1" ht="12" customHeight="1" x14ac:dyDescent="0.2">
      <c r="A19" s="37">
        <v>43509</v>
      </c>
      <c r="B19" s="13" t="s">
        <v>54</v>
      </c>
      <c r="C19" s="13" t="s">
        <v>34</v>
      </c>
      <c r="D19" s="34">
        <v>2017</v>
      </c>
      <c r="E19" s="43">
        <v>1</v>
      </c>
      <c r="F19" s="34">
        <v>200</v>
      </c>
      <c r="G19" s="34">
        <v>40</v>
      </c>
      <c r="H19" s="34" t="s">
        <v>13</v>
      </c>
      <c r="I19" s="34"/>
      <c r="J19" s="34" t="s">
        <v>109</v>
      </c>
      <c r="K19" s="32">
        <f>IF(J19="syllables",1,IF(J19="trigrams",2,IF(J19="strings",3,IF(J19="visual array",4,IF(J19="characters",5,IF(J19="letters",6,IF(J19="free forms",7,IF(J19="odors",8,IF(J19="words",9,IF(J19="pictures",10,IF(J19="object pictures",11,IF(J19="faces",12,IF(J19="names",13,IF(J19="idioms",14,IF(J19="grades",15,IF(J19="syllable-digit pairs",16,IF(J19="trigram-word pairs",17,IF(J19="word-digit pairs",18,IF(J19="English-Swahili pairs",19,IF(J19="spatial position",20,IF(J19="word pairs",21,IF(J19="word triads",22,IF(J19="generated words",23,IF(J19="word definition pairs",24,IF(J19="math problems",25,IF(J19="famous faces",26,IF(J19="famous names",27,IF(J19="famous voices",28,IF(J19="television programs",29,IF(J19="race horses",30,IF(J19="new vocabulary",31,IF(J19="sentences",32,IF(J19="concepts",33,IF(J19="ad slides",34,IF(J19="scenes",35,IF(J19="famous scenes",36,IF(J19="poems",37,IF(J19="walk",38,IF(J19="faces and events",39,IF(J19="events and names",40,IF(J19="flashbulb",41,IF(J19="stories",42,IF(J19="course material",43,IF(J19="autobiographical",44,IF(J19="novels",45,IF(J19="public events",46,"99"))))))))))))))))))))))))))))))))))))))))))))))</f>
        <v>32</v>
      </c>
      <c r="L19" s="32">
        <f>IF(J19="syllables",1,IF(J19="trigrams",1,IF(J19="strings",1,IF(J19="visual array",1,IF(J19="characters",1,IF(J19="letters",1,IF(J19="free forms",1,IF(J19="odors",2,IF(J19="words",2,IF(J19="pictures",2,IF(J19="object pictures",2,IF(J19="faces",2,IF(J19="names",2,IF(J19="idioms","2",IF(J19="grades",2,IF(J19="syllable-digit pairs",3,IF(J19="trigram-word pairs",3,IF(J19="word-digit pairs",3,IF(J19="English-Swahili pairs",3,IF(J19="spatial position",3,IF(J19="word pairs",4,IF(J19="word triads",4,IF(J19="generated words",4,IF(J19="word definition pairs",4,IF(J19="math problems",4,IF(J19="famous faces",4,IF(J19="famous names",4,IF(J19="famous voices",4,IF(J19="television programs",4,IF(J19="race horses",4,IF(J19="new vocabulary",4,IF(J19="sentences",5,IF(J19="concepts",5,IF(J19="ad slides",5,IF(J19="scenes",5,IF(J19="famous scenes",5,IF(J19="poems",6,IF(J19="walk",6,IF(J19="faces and events",6,IF(J19="events and names",6,IF(J19="flashbulb",7,IF(J19="stories",7,IF(J19="course material",7,IF(J19="autobiographical",7,IF(J19="novels",7,IF(J19="public events",7,"99"))))))))))))))))))))))))))))))))))))))))))))))</f>
        <v>5</v>
      </c>
      <c r="M19" s="34">
        <v>1</v>
      </c>
      <c r="N19" s="34">
        <v>4</v>
      </c>
      <c r="O19" s="34">
        <v>0</v>
      </c>
      <c r="P19" s="34"/>
      <c r="Q19" s="34" t="s">
        <v>18</v>
      </c>
      <c r="R19" s="32">
        <f>IF(Q19="Free Recall",1,IF(Q19="Cued Recall",2,IF(Q19="Recognition",3,IF(Q19="Multiple Choice",4,IF(Q19="Savings",5,IF(Q19="Stem Completion",6,IF(Q19="Fragment Completion",7,IF(Q19="anagram solution",8,IF(Q19="Matching",9,IF(Q19="Problem Solving",10,"99"))))))))))</f>
        <v>3</v>
      </c>
      <c r="S19" s="31" t="s">
        <v>196</v>
      </c>
      <c r="T19" s="34" t="s">
        <v>72</v>
      </c>
      <c r="U19" s="32">
        <f>IF(T19="within",1,0)</f>
        <v>0</v>
      </c>
      <c r="V19" s="34">
        <v>18</v>
      </c>
      <c r="W19" s="32">
        <f>F19*V19</f>
        <v>3600</v>
      </c>
      <c r="X19" s="34">
        <v>5</v>
      </c>
      <c r="Y19" s="41">
        <f>AV18</f>
        <v>60</v>
      </c>
      <c r="Z19" s="34" t="s">
        <v>55</v>
      </c>
      <c r="AA19" s="34">
        <v>1209600</v>
      </c>
      <c r="AB19" s="32" t="str">
        <f>IF(AA19&lt;60,"1",IF(AA19&lt;=43200,"2",IF(AA19&lt;=777600,"3","4")))</f>
        <v>4</v>
      </c>
      <c r="AC19" s="28">
        <f>AVERAGE(AV18:DA18)</f>
        <v>380892</v>
      </c>
      <c r="AD19" s="32" t="str">
        <f>IF(AC19&lt;60,"1",IF(AC19&lt;=43200,"2",IF(AC19&lt;=777600,"3","4")))</f>
        <v>3</v>
      </c>
      <c r="AE19" s="41">
        <f>AA19-Y19</f>
        <v>1209540</v>
      </c>
      <c r="AF19" s="45">
        <f>AV19</f>
        <v>3.5885143212326254</v>
      </c>
      <c r="AG19" s="28">
        <f>((AW19-AV19)+(AX19-AW19)+(AY19-AX19)+(AZ19-AY19))/4</f>
        <v>-0.26076646968173955</v>
      </c>
      <c r="AH19" s="4"/>
      <c r="AI19" s="28">
        <f>RSQ(AV19:AZ19,AV18:AZ18)</f>
        <v>0.81972136208368218</v>
      </c>
      <c r="AJ19" s="51">
        <f>SLOPE(AV19:AZ19,AV18:AZ18)</f>
        <v>-7.4161877399048183E-7</v>
      </c>
      <c r="AK19" s="28">
        <f>INTERCEPT(AV19:AZ19,AV18:AZ18)</f>
        <v>3.5942099600997408</v>
      </c>
      <c r="AL19" s="28">
        <f>INDEX(LINEST(LN(AV19:AZ19),LN(AV18:AZ18),TRUE,TRUE),3,1)</f>
        <v>0.34759165358119848</v>
      </c>
      <c r="AM19" s="28">
        <f>INDEX(LINEST(LN(AV19:AZ19),LN(AV18:AZ18)),1)</f>
        <v>-2.0707266774658013E-2</v>
      </c>
      <c r="AN19" s="28">
        <f>EXP(INDEX(LINEST(LN(AV19:AZ19),LN(AV18:AZ18)),1,2))</f>
        <v>4.0585130178898581</v>
      </c>
      <c r="AO19" s="47">
        <f>INDEX(LINEST((AV19:AZ19),LN(AV18:AZ18),TRUE,TRUE),3,1)</f>
        <v>0.36098327578025313</v>
      </c>
      <c r="AP19" s="47">
        <f>INDEX(LINEST((AV19:AZ19),LN(AV18:AZ18)),1)</f>
        <v>-6.3441097981759731E-2</v>
      </c>
      <c r="AQ19" s="48">
        <f>INDEX(LINEST(LN(AV19:AZ19),SQRT(AV18:AZ18),TRUE,TRUE),3,1)</f>
        <v>0.64704969483635888</v>
      </c>
      <c r="AR19" s="56">
        <f>INDEX(LINEST(LN(AV19:AZ19),SQRT((AV18:AZ18))),1)</f>
        <v>-2.4328309639663916E-4</v>
      </c>
      <c r="AS19" s="49">
        <f>INDEX(LINEST(1/(AV19:AZ19),1/(SQRT(AV18:AZ18)),TRUE,TRUE),3,1)</f>
        <v>0.13758238510495699</v>
      </c>
      <c r="AT19" s="49">
        <f>INDEX(LINEST(1/(AV19:AZ19),1/SQRT(AV18:AZ18)),1)</f>
        <v>-0.32141669767135611</v>
      </c>
      <c r="AU19" s="3"/>
      <c r="AV19" s="25">
        <v>3.5885143212326254</v>
      </c>
      <c r="AW19" s="25">
        <v>3.4631289580301861</v>
      </c>
      <c r="AX19" s="25">
        <v>3.5086650452825143</v>
      </c>
      <c r="AY19" s="25">
        <v>3.4529097431338025</v>
      </c>
      <c r="AZ19" s="25">
        <v>2.5454484425056672</v>
      </c>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3"/>
      <c r="CS19" s="13"/>
      <c r="CT19" s="13"/>
      <c r="CU19" s="13"/>
    </row>
    <row r="20" spans="1:99" s="60" customFormat="1" ht="12" customHeight="1" x14ac:dyDescent="0.2">
      <c r="A20" s="94">
        <v>43509</v>
      </c>
      <c r="B20" s="101"/>
      <c r="C20" s="101"/>
      <c r="D20" s="77"/>
      <c r="E20" s="98"/>
      <c r="F20" s="77"/>
      <c r="G20" s="77"/>
      <c r="H20" s="77"/>
      <c r="I20" s="77"/>
      <c r="J20" s="77"/>
      <c r="K20" s="102"/>
      <c r="L20" s="102"/>
      <c r="M20" s="77"/>
      <c r="N20" s="77"/>
      <c r="O20" s="77"/>
      <c r="P20" s="77"/>
      <c r="Q20" s="77"/>
      <c r="R20" s="77"/>
      <c r="S20" s="77"/>
      <c r="T20" s="77"/>
      <c r="U20" s="32"/>
      <c r="V20" s="77"/>
      <c r="W20" s="77"/>
      <c r="X20" s="77"/>
      <c r="Y20" s="98"/>
      <c r="Z20" s="77"/>
      <c r="AA20" s="77"/>
      <c r="AB20" s="77"/>
      <c r="AC20" s="77"/>
      <c r="AD20" s="77"/>
      <c r="AE20" s="77"/>
      <c r="AF20" s="99"/>
      <c r="AG20" s="100"/>
      <c r="AH20" s="84"/>
      <c r="AI20" s="100"/>
      <c r="AJ20" s="105"/>
      <c r="AK20" s="100"/>
      <c r="AL20" s="100"/>
      <c r="AM20" s="100"/>
      <c r="AN20" s="100"/>
      <c r="AO20" s="100"/>
      <c r="AP20" s="100"/>
      <c r="AQ20" s="100"/>
      <c r="AR20" s="105"/>
      <c r="AS20" s="100"/>
      <c r="AT20" s="100"/>
      <c r="AU20" s="62"/>
      <c r="AV20" s="64">
        <v>90</v>
      </c>
      <c r="AW20" s="64">
        <f>2*24*60*60</f>
        <v>172800</v>
      </c>
      <c r="AX20" s="64">
        <f>14*24*60*60</f>
        <v>1209600</v>
      </c>
      <c r="AY20" s="64">
        <f>61*24*60*60</f>
        <v>5270400</v>
      </c>
      <c r="AZ20" s="65"/>
      <c r="BA20" s="65"/>
      <c r="BB20" s="65"/>
      <c r="BC20" s="65"/>
      <c r="BD20" s="65"/>
      <c r="BE20" s="65"/>
      <c r="BF20" s="65"/>
      <c r="BG20" s="65"/>
      <c r="BH20" s="65"/>
      <c r="BI20" s="65"/>
      <c r="BJ20" s="65"/>
      <c r="BK20" s="65"/>
      <c r="BL20" s="61"/>
      <c r="BM20" s="61"/>
      <c r="BN20" s="61"/>
      <c r="BO20" s="61"/>
      <c r="BP20" s="61"/>
      <c r="BQ20" s="61"/>
      <c r="BR20" s="61"/>
      <c r="BS20" s="61"/>
      <c r="BT20" s="61"/>
      <c r="BU20" s="61"/>
      <c r="BV20" s="61"/>
      <c r="BW20" s="61"/>
      <c r="BX20" s="61"/>
      <c r="BY20" s="61"/>
      <c r="BZ20" s="61"/>
      <c r="CA20" s="61"/>
      <c r="CB20" s="61"/>
      <c r="CC20" s="61"/>
      <c r="CD20" s="61"/>
      <c r="CE20" s="61"/>
      <c r="CF20" s="61"/>
      <c r="CG20" s="61"/>
      <c r="CH20" s="61"/>
      <c r="CI20" s="61"/>
      <c r="CJ20" s="61"/>
      <c r="CK20" s="61"/>
      <c r="CL20" s="61"/>
      <c r="CM20" s="61"/>
      <c r="CN20" s="61"/>
      <c r="CO20" s="61"/>
      <c r="CP20" s="61"/>
      <c r="CQ20" s="61"/>
      <c r="CR20" s="59"/>
      <c r="CS20" s="59"/>
      <c r="CT20" s="59"/>
      <c r="CU20" s="59"/>
    </row>
    <row r="21" spans="1:99" s="60" customFormat="1" ht="12" customHeight="1" x14ac:dyDescent="0.2">
      <c r="A21" s="94">
        <v>43509</v>
      </c>
      <c r="B21" s="101" t="s">
        <v>65</v>
      </c>
      <c r="C21" s="101" t="s">
        <v>34</v>
      </c>
      <c r="D21" s="77">
        <v>2002</v>
      </c>
      <c r="E21" s="98">
        <v>2</v>
      </c>
      <c r="F21" s="77">
        <v>60</v>
      </c>
      <c r="G21" s="77">
        <v>20</v>
      </c>
      <c r="H21" s="77" t="s">
        <v>15</v>
      </c>
      <c r="I21" s="77" t="s">
        <v>202</v>
      </c>
      <c r="J21" s="77" t="s">
        <v>12</v>
      </c>
      <c r="K21" s="77" t="str">
        <f>IF(J21="syllables","1",IF(J21="trigrams","2",IF(J21="strings","3",IF(J21="visual array","4",IF(J21="characters","5",IF(J21="letters","6",IF(J21="free forms","7",IF(J21="odors","8",IF(J21="words","9",IF(J21="pictures","10",IF(J21="object pictures","11",IF(J21="faces","12",IF(J21="names","13",IF(J21="idioms","14",IF(J21="grades","15",IF(J21="syllable-digit pairs","16",IF(J21="trigram-word pairs","17",IF(J21="word-digit pairs","18",IF(J21="English-Swahili pairs","19",IF(J21="spatial position","20",IF(J21="word pairs","21",IF(J21="word triads","22",IF(J21="generated words","23",IF(J21="word definition pairs","24",IF(J21="math problems","25",IF(J21="famous faces","26",IF(J21="famous names","27",IF(J21="famous voices","28",IF(J21="television programs","29",IF(J21="race horses","30",IF(J21="new vocabulary","31",IF(J21="sentences","32",IF(J21="concepts","33",IF(J21="ad slides","34",IF(J21="scenes","35",IF(J21="famous scenes","36",IF(J21="poems","37",IF(J21="walk","38",IF(J21="faces and events","39",IF(J21="events and names","40",IF(J21="flashbulb","41",IF(J21="stories","42",IF(J21="course material","43",IF(J21="autobiographical","44",IF(J21="novels","45",IF(J21="public events","46",IF(J21="order","90","99")))))))))))))))))))))))))))))))))))))))))))))))</f>
        <v>9</v>
      </c>
      <c r="L21" s="77" t="str">
        <f>IF(J21="syllables","1",IF(J21="trigrams","1",IF(J21="strings","1",IF(J21="visual array","1",IF(J21="characters","1",IF(J21="letters","1",IF(J21="free forms","1",IF(J21="odors","2",IF(J21="words","2",IF(J21="pictures","2",IF(J21="object pictures","2",IF(J21="faces","2",IF(J21="names","2",IF(J21="idioms","2",IF(J21="grades","2",IF(J21="syllable-digit pairs","3",IF(J21="trigram-word pairs","3",IF(J21="word-digit pairs","3",IF(J21="English-Swahili pairs","3",IF(J21="spatial position","3",IF(J21="word pairs","4",IF(J21="word triads","4",IF(J21="generated words","4",IF(J21="word definition pairs","4",IF(J21="math problems","4",IF(J21="famous faces","4",IF(J21="famous names","4",IF(J21="famous voices","4",IF(J21="television programs","4",IF(J21="race horses","4",IF(J21="new vocabulary","4",IF(J21="sentences","5",IF(J21="concepts","5",IF(J21="ad slides","5",IF(J21="scenes","5",IF(J21="famous scenes","5",IF(J21="poems","6",IF(J21="walk","6",IF(J21="faces and events","6",IF(J21="events and names","6",IF(J21="flashbulb","7",IF(J21="stories","7",IF(J21="course material","7",IF(J21="autobiographical","7",IF(J21="novels","7",IF(J21="public events","7",IF(J21="order","90","99")))))))))))))))))))))))))))))))))))))))))))))))</f>
        <v>2</v>
      </c>
      <c r="M21" s="77" t="s">
        <v>195</v>
      </c>
      <c r="N21" s="77">
        <v>1</v>
      </c>
      <c r="O21" s="77" t="s">
        <v>195</v>
      </c>
      <c r="P21" s="77"/>
      <c r="Q21" s="77" t="s">
        <v>18</v>
      </c>
      <c r="R21" s="77" t="str">
        <f>IF(Q21="Free Recall","1",IF(Q21="Cued Recall","2",IF(Q21="Recognition","3",IF(Q21="Multiple Choice","4",IF(Q21="Savings","5",IF(Q21="Stem Completion","6",IF(Q21="Fragment Completion","7",IF(Q21="anagram solution","8",IF(Q21="Matching","9",IF(Q21="Problem Solving","10","99"))))))))))</f>
        <v>3</v>
      </c>
      <c r="S21" s="77" t="s">
        <v>196</v>
      </c>
      <c r="T21" s="77" t="s">
        <v>72</v>
      </c>
      <c r="U21" s="32">
        <f>IF(T21="within",1,0)</f>
        <v>0</v>
      </c>
      <c r="V21" s="77">
        <v>48</v>
      </c>
      <c r="W21" s="77">
        <f>F21*V21</f>
        <v>2880</v>
      </c>
      <c r="X21" s="77">
        <v>4</v>
      </c>
      <c r="Y21" s="98">
        <f>AV20</f>
        <v>90</v>
      </c>
      <c r="Z21" s="77" t="s">
        <v>64</v>
      </c>
      <c r="AA21" s="98">
        <f>61*24*60*60</f>
        <v>5270400</v>
      </c>
      <c r="AB21" s="77" t="str">
        <f>IF(AA21&lt;60,"1",IF(AA21&lt;=43200,"2",IF(AA21&lt;=777600,"3","4")))</f>
        <v>4</v>
      </c>
      <c r="AC21" s="100">
        <f>AVERAGE(AV20:DA20)</f>
        <v>1663222.5</v>
      </c>
      <c r="AD21" s="77" t="str">
        <f>IF(AC21&lt;60,"1",IF(AC21&lt;=43200,"2",IF(AC21&lt;=777600,"3","4")))</f>
        <v>4</v>
      </c>
      <c r="AE21" s="98">
        <f>AA21-Y21</f>
        <v>5270310</v>
      </c>
      <c r="AF21" s="99">
        <f>AV21</f>
        <v>1.7</v>
      </c>
      <c r="AG21" s="100">
        <f>((AW21-AV21)+(AX21-AW21)+(AY21-AX21))/3</f>
        <v>-0.45</v>
      </c>
      <c r="AH21" s="84"/>
      <c r="AI21" s="100">
        <f>RSQ(AV21:AY21,AV20:AY20)</f>
        <v>0.78480588955461461</v>
      </c>
      <c r="AJ21" s="105">
        <f>SLOPE(AV21:AY21,AV20:AY20)</f>
        <v>-2.0512987181984543E-7</v>
      </c>
      <c r="AK21" s="100">
        <f>INTERCEPT(AV21:AY21,AV20:AY20)</f>
        <v>1.3636766182328828</v>
      </c>
      <c r="AL21" s="100">
        <f>INDEX(LINEST(LN(AV21:AY21),LN(AV20:AY20),TRUE,TRUE),3,1)</f>
        <v>0.68453819801022919</v>
      </c>
      <c r="AM21" s="100">
        <f>INDEX(LINEST(LN(AV21:AY21),LN(AV20:AY20)),1)</f>
        <v>-0.11509432096161484</v>
      </c>
      <c r="AN21" s="100">
        <f>EXP(INDEX(LINEST(LN(AV21:AY21),LN(AV20:AY20)),1,2))</f>
        <v>3.3102340370742933</v>
      </c>
      <c r="AO21" s="104">
        <f>INDEX(LINEST((AV21:AY21),LN(AV20:AY20),TRUE,TRUE),3,1)</f>
        <v>0.86731633330472302</v>
      </c>
      <c r="AP21" s="104">
        <f>INDEX(LINEST((AV21:AY21),LN(AV20:AY20)),1)</f>
        <v>-0.10887599775689695</v>
      </c>
      <c r="AQ21" s="48">
        <f>INDEX(LINEST(LN(AV21:AY21),SQRT(AV20:AY20),TRUE,TRUE),3,1)</f>
        <v>0.9955021410712257</v>
      </c>
      <c r="AR21" s="56">
        <f>INDEX(LINEST(LN(AV21:AY21),SQRT((AV20:AY20))),1)</f>
        <v>-6.7681257549960625E-4</v>
      </c>
      <c r="AS21" s="49">
        <f>INDEX(LINEST(1/(AV21:AY21),1/(SQRT(AV20:AY20)),TRUE,TRUE),3,1)</f>
        <v>0.268766903389977</v>
      </c>
      <c r="AT21" s="49">
        <f>INDEX(LINEST(1/(AV21:AY21),1/SQRT(AV20:AY20)),1)</f>
        <v>-10.187627796679035</v>
      </c>
      <c r="AU21" s="63"/>
      <c r="AV21" s="65">
        <v>1.7</v>
      </c>
      <c r="AW21" s="65">
        <v>1.2</v>
      </c>
      <c r="AX21" s="65">
        <v>0.84</v>
      </c>
      <c r="AY21" s="65">
        <v>0.35</v>
      </c>
      <c r="AZ21" s="65"/>
      <c r="BA21" s="65"/>
      <c r="BB21" s="65"/>
      <c r="BC21" s="65"/>
      <c r="BD21" s="65"/>
      <c r="BE21" s="65"/>
      <c r="BF21" s="65"/>
      <c r="BG21" s="65"/>
      <c r="BH21" s="65"/>
      <c r="BI21" s="65"/>
      <c r="BJ21" s="65"/>
      <c r="BK21" s="65"/>
      <c r="BL21" s="61"/>
      <c r="BM21" s="61"/>
      <c r="BN21" s="61"/>
      <c r="BO21" s="61"/>
      <c r="BP21" s="61"/>
      <c r="BQ21" s="61"/>
      <c r="BR21" s="61"/>
      <c r="BS21" s="61"/>
      <c r="BT21" s="61"/>
      <c r="BU21" s="61"/>
      <c r="BV21" s="61"/>
      <c r="BW21" s="61"/>
      <c r="BX21" s="61"/>
      <c r="BY21" s="61"/>
      <c r="BZ21" s="61"/>
      <c r="CA21" s="61"/>
      <c r="CB21" s="61"/>
      <c r="CC21" s="61"/>
      <c r="CD21" s="61"/>
      <c r="CE21" s="61"/>
      <c r="CF21" s="61"/>
      <c r="CG21" s="61"/>
      <c r="CH21" s="61"/>
      <c r="CI21" s="61"/>
      <c r="CJ21" s="61"/>
      <c r="CK21" s="61"/>
      <c r="CL21" s="61"/>
      <c r="CM21" s="61"/>
      <c r="CN21" s="61"/>
      <c r="CO21" s="61"/>
      <c r="CP21" s="61"/>
      <c r="CQ21" s="61"/>
      <c r="CR21" s="59"/>
      <c r="CS21" s="59"/>
      <c r="CT21" s="59"/>
      <c r="CU21" s="59"/>
    </row>
    <row r="22" spans="1:99" ht="12" customHeight="1" x14ac:dyDescent="0.2">
      <c r="A22" s="37">
        <v>43979</v>
      </c>
      <c r="B22" s="11"/>
      <c r="C22" s="11"/>
      <c r="D22" s="31"/>
      <c r="E22" s="40"/>
      <c r="F22" s="31"/>
      <c r="G22" s="31"/>
      <c r="H22" s="31"/>
      <c r="I22" s="31"/>
      <c r="J22" s="31"/>
      <c r="K22" s="32"/>
      <c r="L22" s="32"/>
      <c r="M22" s="31"/>
      <c r="N22" s="31"/>
      <c r="O22" s="31"/>
      <c r="P22" s="31"/>
      <c r="Q22" s="31"/>
      <c r="R22" s="32"/>
      <c r="S22" s="32"/>
      <c r="T22" s="31"/>
      <c r="U22" s="32"/>
      <c r="V22" s="31"/>
      <c r="W22" s="32"/>
      <c r="X22" s="31"/>
      <c r="Y22" s="41"/>
      <c r="Z22" s="31"/>
      <c r="AA22" s="31"/>
      <c r="AB22" s="32"/>
      <c r="AC22" s="28"/>
      <c r="AD22" s="32"/>
      <c r="AE22" s="41"/>
      <c r="AF22" s="45"/>
      <c r="AG22" s="28"/>
      <c r="AH22" s="4"/>
      <c r="AI22" s="28"/>
      <c r="AJ22" s="51"/>
      <c r="AK22" s="28"/>
      <c r="AL22" s="28"/>
      <c r="AM22" s="28"/>
      <c r="AN22" s="28"/>
      <c r="AO22" s="47"/>
      <c r="AP22" s="47"/>
      <c r="AQ22" s="48"/>
      <c r="AR22" s="56"/>
      <c r="AS22" s="49"/>
      <c r="AT22" s="49"/>
      <c r="AU22" s="3"/>
      <c r="AV22" s="24">
        <v>60</v>
      </c>
      <c r="AW22" s="24">
        <f>60*60*24</f>
        <v>86400</v>
      </c>
      <c r="AX22" s="24">
        <f>60*60*24*7</f>
        <v>604800</v>
      </c>
      <c r="AY22" s="24">
        <f>60*60*24*25</f>
        <v>2160000</v>
      </c>
      <c r="AZ22" s="7"/>
      <c r="BA22" s="25" t="s">
        <v>179</v>
      </c>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11"/>
      <c r="CS22" s="11"/>
      <c r="CT22" s="11"/>
      <c r="CU22" s="11"/>
    </row>
    <row r="23" spans="1:99" ht="12" customHeight="1" x14ac:dyDescent="0.2">
      <c r="A23" s="37">
        <v>43979</v>
      </c>
      <c r="B23" s="11" t="s">
        <v>175</v>
      </c>
      <c r="C23" s="11" t="s">
        <v>34</v>
      </c>
      <c r="D23" s="31">
        <v>2020</v>
      </c>
      <c r="E23" s="40">
        <v>2</v>
      </c>
      <c r="F23" s="31">
        <v>70</v>
      </c>
      <c r="G23" s="31">
        <v>70</v>
      </c>
      <c r="H23" s="31" t="s">
        <v>176</v>
      </c>
      <c r="I23" s="31" t="s">
        <v>177</v>
      </c>
      <c r="J23" s="31" t="s">
        <v>82</v>
      </c>
      <c r="K23" s="32">
        <f>IF(J23="syllables",1,IF(J23="trigrams",2,IF(J23="strings",3,IF(J23="visual array",4,IF(J23="characters",5,IF(J23="letters",6,IF(J23="free forms",7,IF(J23="odors",8,IF(J23="words",9,IF(J23="pictures",10,IF(J23="object pictures",11,IF(J23="faces",12,IF(J23="names",13,IF(J23="idioms",14,IF(J23="grades",15,IF(J23="syllable-digit pairs",16,IF(J23="trigram-word pairs",17,IF(J23="word-digit pairs",18,IF(J23="English-Swahili pairs",19,IF(J23="spatial position",20,IF(J23="word pairs",21,IF(J23="word triads",22,IF(J23="generated words",23,IF(J23="word definition pairs",24,IF(J23="math problems",25,IF(J23="famous faces",26,IF(J23="famous names",27,IF(J23="famous voices",28,IF(J23="television programs",29,IF(J23="race horses",30,IF(J23="new vocabulary",31,IF(J23="sentences",32,IF(J23="concepts",33,IF(J23="ad slides",34,IF(J23="scenes",35,IF(J23="famous scenes",36,IF(J23="poems",37,IF(J23="walk",38,IF(J23="faces and events",39,IF(J23="events and names",40,IF(J23="flashbulb",41,IF(J23="stories",42,IF(J23="course material",43,IF(J23="autobiographical",44,IF(J23="novels",45,IF(J23="public events",46,"99"))))))))))))))))))))))))))))))))))))))))))))))</f>
        <v>10</v>
      </c>
      <c r="L23" s="32">
        <f>IF(J23="syllables",1,IF(J23="trigrams",1,IF(J23="strings",1,IF(J23="visual array",1,IF(J23="characters",1,IF(J23="letters",1,IF(J23="free forms",1,IF(J23="odors",2,IF(J23="words",2,IF(J23="pictures",2,IF(J23="object pictures",2,IF(J23="faces",2,IF(J23="names",2,IF(J23="idioms","2",IF(J23="grades",2,IF(J23="syllable-digit pairs",3,IF(J23="trigram-word pairs",3,IF(J23="word-digit pairs",3,IF(J23="English-Swahili pairs",3,IF(J23="spatial position",3,IF(J23="word pairs",4,IF(J23="word triads",4,IF(J23="generated words",4,IF(J23="word definition pairs",4,IF(J23="math problems",4,IF(J23="famous faces",4,IF(J23="famous names",4,IF(J23="famous voices",4,IF(J23="television programs",4,IF(J23="race horses",4,IF(J23="new vocabulary",4,IF(J23="sentences",5,IF(J23="concepts",5,IF(J23="ad slides",5,IF(J23="scenes",5,IF(J23="famous scenes",5,IF(J23="poems",6,IF(J23="walk",6,IF(J23="faces and events",6,IF(J23="events and names",6,IF(J23="flashbulb",7,IF(J23="stories",7,IF(J23="course material",7,IF(J23="autobiographical",7,IF(J23="novels",7,IF(J23="public events",7,"99"))))))))))))))))))))))))))))))))))))))))))))))</f>
        <v>2</v>
      </c>
      <c r="M23" s="31">
        <v>1</v>
      </c>
      <c r="N23" s="31">
        <v>2</v>
      </c>
      <c r="O23" s="31">
        <v>0</v>
      </c>
      <c r="P23" s="31"/>
      <c r="Q23" s="31" t="s">
        <v>18</v>
      </c>
      <c r="R23" s="32">
        <f>IF(Q23="Free Recall",1,IF(Q23="Cued Recall",2,IF(Q23="Recognition",3,IF(Q23="Multiple Choice",4,IF(Q23="Savings",5,IF(Q23="Stem Completion",6,IF(Q23="Fragment Completion",7,IF(Q23="anagram solution",8,IF(Q23="Matching",9,IF(Q23="Problem Solving",10,"99"))))))))))</f>
        <v>3</v>
      </c>
      <c r="S23" s="77" t="s">
        <v>196</v>
      </c>
      <c r="T23" s="31" t="s">
        <v>132</v>
      </c>
      <c r="U23" s="32">
        <f>IF(T23="within",1,0)</f>
        <v>1</v>
      </c>
      <c r="V23" s="31">
        <v>200</v>
      </c>
      <c r="W23" s="32">
        <f>F23*V23</f>
        <v>14000</v>
      </c>
      <c r="X23" s="31">
        <v>4</v>
      </c>
      <c r="Y23" s="41">
        <f>AV22</f>
        <v>60</v>
      </c>
      <c r="Z23" s="31" t="s">
        <v>178</v>
      </c>
      <c r="AA23" s="41">
        <f>60*60*24*25</f>
        <v>2160000</v>
      </c>
      <c r="AB23" s="32" t="str">
        <f>IF(AA23&lt;60,"1",IF(AA23&lt;=43200,"2",IF(AA23&lt;=777600,"3","4")))</f>
        <v>4</v>
      </c>
      <c r="AC23" s="28">
        <f>AVERAGE(AV22:DA22)</f>
        <v>712815</v>
      </c>
      <c r="AD23" s="32" t="str">
        <f>IF(AC23&lt;60,"1",IF(AC23&lt;=43200,"2",IF(AC23&lt;=777600,"3","4")))</f>
        <v>3</v>
      </c>
      <c r="AE23" s="41">
        <f>AA23-Y23</f>
        <v>2159940</v>
      </c>
      <c r="AF23" s="45">
        <f>AV23</f>
        <v>1.0567142857142855</v>
      </c>
      <c r="AG23" s="28">
        <f>((AW23-AV23)+(AX23-AW23)+(AY23-AX23))/3</f>
        <v>-0.22050476190476184</v>
      </c>
      <c r="AH23" s="4"/>
      <c r="AI23" s="28">
        <f>RSQ(AV23:AY23,AV22:AY22)</f>
        <v>0.65078364425608459</v>
      </c>
      <c r="AJ23" s="51">
        <f>SLOPE(AV23:AY23,AV22:AY22)</f>
        <v>-2.333307644981544E-7</v>
      </c>
      <c r="AK23" s="28">
        <f>INTERCEPT(AV23:AY23,AV22:AY22)</f>
        <v>0.84500381175289474</v>
      </c>
      <c r="AL23" s="28">
        <f>INDEX(LINEST(LN(AV23:AY23),LN(AV22:AY22),TRUE,TRUE),3,1)</f>
        <v>0.87551963813168232</v>
      </c>
      <c r="AM23" s="28">
        <f>INDEX(LINEST(LN(AV23:AY23),LN(AV22:AY22)),1)</f>
        <v>-8.5151640058379441E-2</v>
      </c>
      <c r="AN23" s="28">
        <f>EXP(INDEX(LINEST(LN(AV23:AY23),LN(AV22:AY22)),1,2))</f>
        <v>1.5956187857178696</v>
      </c>
      <c r="AO23" s="47">
        <f>INDEX(LINEST((AV23:AY23),LN(AV22:AY22),TRUE,TRUE),3,1)</f>
        <v>0.94855092327592949</v>
      </c>
      <c r="AP23" s="47">
        <f>INDEX(LINEST((AV23:AY23),LN(AV22:AY22)),1)</f>
        <v>-6.0156739431794129E-2</v>
      </c>
      <c r="AQ23" s="48">
        <f>INDEX(LINEST(LN(AV23:AY23),SQRT(AV22:AY22),TRUE,TRUE),3,1)</f>
        <v>0.94483485152341551</v>
      </c>
      <c r="AR23" s="56">
        <f>INDEX(LINEST(LN(AV23:AY23),SQRT((AV22:AY22))),1)</f>
        <v>-6.4844328683771023E-4</v>
      </c>
      <c r="AS23" s="49">
        <f>INDEX(LINEST(1/(AV23:AY23),1/(SQRT(AV22:AY22)),TRUE,TRUE),3,1)</f>
        <v>0.52845354283315671</v>
      </c>
      <c r="AT23" s="49">
        <f>INDEX(LINEST(1/(AV23:AY23),1/SQRT(AV22:AY22)),1)</f>
        <v>-7.8686122315290117</v>
      </c>
      <c r="AU23" s="3"/>
      <c r="AV23" s="7">
        <v>1.0567142857142855</v>
      </c>
      <c r="AW23" s="7">
        <v>0.7404285714285711</v>
      </c>
      <c r="AX23" s="7">
        <v>0.52238571428571423</v>
      </c>
      <c r="AY23" s="7">
        <v>0.3952</v>
      </c>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11"/>
      <c r="CS23" s="11"/>
      <c r="CT23" s="11"/>
      <c r="CU23" s="11"/>
    </row>
    <row r="24" spans="1:99" ht="12" customHeight="1" x14ac:dyDescent="0.2">
      <c r="A24" s="37">
        <v>43979</v>
      </c>
      <c r="B24" s="11"/>
      <c r="C24" s="11"/>
      <c r="D24" s="31"/>
      <c r="E24" s="40"/>
      <c r="F24" s="31"/>
      <c r="G24" s="31"/>
      <c r="H24" s="31"/>
      <c r="I24" s="31"/>
      <c r="J24" s="31"/>
      <c r="K24" s="32"/>
      <c r="L24" s="32"/>
      <c r="M24" s="31"/>
      <c r="N24" s="31"/>
      <c r="O24" s="31"/>
      <c r="P24" s="31"/>
      <c r="Q24" s="31"/>
      <c r="R24" s="32"/>
      <c r="S24" s="32"/>
      <c r="T24" s="31"/>
      <c r="U24" s="32"/>
      <c r="V24" s="31"/>
      <c r="W24" s="32"/>
      <c r="X24" s="31"/>
      <c r="Y24" s="41"/>
      <c r="Z24" s="31"/>
      <c r="AA24" s="31"/>
      <c r="AB24" s="32"/>
      <c r="AC24" s="28"/>
      <c r="AD24" s="32"/>
      <c r="AE24" s="41"/>
      <c r="AF24" s="45"/>
      <c r="AG24" s="28"/>
      <c r="AH24" s="4"/>
      <c r="AI24" s="28"/>
      <c r="AJ24" s="51"/>
      <c r="AK24" s="28"/>
      <c r="AL24" s="28"/>
      <c r="AM24" s="28"/>
      <c r="AN24" s="28"/>
      <c r="AO24" s="47"/>
      <c r="AP24" s="47"/>
      <c r="AQ24" s="48"/>
      <c r="AR24" s="56"/>
      <c r="AS24" s="49"/>
      <c r="AT24" s="49"/>
      <c r="AU24" s="3"/>
      <c r="AV24" s="24">
        <v>60</v>
      </c>
      <c r="AW24" s="24">
        <f>60*60*24</f>
        <v>86400</v>
      </c>
      <c r="AX24" s="24">
        <f>60*60*24*7</f>
        <v>604800</v>
      </c>
      <c r="AY24" s="24">
        <f>60*60*24*25</f>
        <v>2160000</v>
      </c>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11"/>
      <c r="CS24" s="11"/>
      <c r="CT24" s="11"/>
      <c r="CU24" s="11"/>
    </row>
    <row r="25" spans="1:99" ht="12" customHeight="1" x14ac:dyDescent="0.2">
      <c r="A25" s="37">
        <v>43979</v>
      </c>
      <c r="B25" s="11" t="s">
        <v>175</v>
      </c>
      <c r="C25" s="11" t="s">
        <v>34</v>
      </c>
      <c r="D25" s="31">
        <v>2020</v>
      </c>
      <c r="E25" s="40">
        <v>2</v>
      </c>
      <c r="F25" s="31">
        <v>70</v>
      </c>
      <c r="G25" s="31">
        <v>70</v>
      </c>
      <c r="H25" s="31" t="s">
        <v>176</v>
      </c>
      <c r="I25" s="31" t="s">
        <v>151</v>
      </c>
      <c r="J25" s="31" t="s">
        <v>82</v>
      </c>
      <c r="K25" s="32">
        <f>IF(J25="syllables",1,IF(J25="trigrams",2,IF(J25="strings",3,IF(J25="visual array",4,IF(J25="characters",5,IF(J25="letters",6,IF(J25="free forms",7,IF(J25="odors",8,IF(J25="words",9,IF(J25="pictures",10,IF(J25="object pictures",11,IF(J25="faces",12,IF(J25="names",13,IF(J25="idioms",14,IF(J25="grades",15,IF(J25="syllable-digit pairs",16,IF(J25="trigram-word pairs",17,IF(J25="word-digit pairs",18,IF(J25="English-Swahili pairs",19,IF(J25="spatial position",20,IF(J25="word pairs",21,IF(J25="word triads",22,IF(J25="generated words",23,IF(J25="word definition pairs",24,IF(J25="math problems",25,IF(J25="famous faces",26,IF(J25="famous names",27,IF(J25="famous voices",28,IF(J25="television programs",29,IF(J25="race horses",30,IF(J25="new vocabulary",31,IF(J25="sentences",32,IF(J25="concepts",33,IF(J25="ad slides",34,IF(J25="scenes",35,IF(J25="famous scenes",36,IF(J25="poems",37,IF(J25="walk",38,IF(J25="faces and events",39,IF(J25="events and names",40,IF(J25="flashbulb",41,IF(J25="stories",42,IF(J25="course material",43,IF(J25="autobiographical",44,IF(J25="novels",45,IF(J25="public events",46,"99"))))))))))))))))))))))))))))))))))))))))))))))</f>
        <v>10</v>
      </c>
      <c r="L25" s="32">
        <f>IF(J25="syllables",1,IF(J25="trigrams",1,IF(J25="strings",1,IF(J25="visual array",1,IF(J25="characters",1,IF(J25="letters",1,IF(J25="free forms",1,IF(J25="odors",2,IF(J25="words",2,IF(J25="pictures",2,IF(J25="object pictures",2,IF(J25="faces",2,IF(J25="names",2,IF(J25="idioms","2",IF(J25="grades",2,IF(J25="syllable-digit pairs",3,IF(J25="trigram-word pairs",3,IF(J25="word-digit pairs",3,IF(J25="English-Swahili pairs",3,IF(J25="spatial position",3,IF(J25="word pairs",4,IF(J25="word triads",4,IF(J25="generated words",4,IF(J25="word definition pairs",4,IF(J25="math problems",4,IF(J25="famous faces",4,IF(J25="famous names",4,IF(J25="famous voices",4,IF(J25="television programs",4,IF(J25="race horses",4,IF(J25="new vocabulary",4,IF(J25="sentences",5,IF(J25="concepts",5,IF(J25="ad slides",5,IF(J25="scenes",5,IF(J25="famous scenes",5,IF(J25="poems",6,IF(J25="walk",6,IF(J25="faces and events",6,IF(J25="events and names",6,IF(J25="flashbulb",7,IF(J25="stories",7,IF(J25="course material",7,IF(J25="autobiographical",7,IF(J25="novels",7,IF(J25="public events",7,"99"))))))))))))))))))))))))))))))))))))))))))))))</f>
        <v>2</v>
      </c>
      <c r="M25" s="31">
        <v>1</v>
      </c>
      <c r="N25" s="31">
        <v>2</v>
      </c>
      <c r="O25" s="31">
        <v>0</v>
      </c>
      <c r="P25" s="31"/>
      <c r="Q25" s="31" t="s">
        <v>18</v>
      </c>
      <c r="R25" s="32">
        <f>IF(Q25="Free Recall",1,IF(Q25="Cued Recall",2,IF(Q25="Recognition",3,IF(Q25="Multiple Choice",4,IF(Q25="Savings",5,IF(Q25="Stem Completion",6,IF(Q25="Fragment Completion",7,IF(Q25="anagram solution",8,IF(Q25="Matching",9,IF(Q25="Problem Solving",10,"99"))))))))))</f>
        <v>3</v>
      </c>
      <c r="S25" s="77" t="s">
        <v>196</v>
      </c>
      <c r="T25" s="31" t="s">
        <v>132</v>
      </c>
      <c r="U25" s="32">
        <f>IF(T25="within",1,0)</f>
        <v>1</v>
      </c>
      <c r="V25" s="31">
        <v>200</v>
      </c>
      <c r="W25" s="32">
        <f>F25*V25</f>
        <v>14000</v>
      </c>
      <c r="X25" s="31">
        <v>4</v>
      </c>
      <c r="Y25" s="41">
        <f>AV24</f>
        <v>60</v>
      </c>
      <c r="Z25" s="31" t="s">
        <v>178</v>
      </c>
      <c r="AA25" s="41">
        <f>60*60*24*25</f>
        <v>2160000</v>
      </c>
      <c r="AB25" s="32" t="str">
        <f>IF(AA25&lt;60,"1",IF(AA25&lt;=43200,"2",IF(AA25&lt;=777600,"3","4")))</f>
        <v>4</v>
      </c>
      <c r="AC25" s="28">
        <f>AVERAGE(AV24:DA24)</f>
        <v>712815</v>
      </c>
      <c r="AD25" s="32" t="str">
        <f>IF(AC25&lt;60,"1",IF(AC25&lt;=43200,"2",IF(AC25&lt;=777600,"3","4")))</f>
        <v>3</v>
      </c>
      <c r="AE25" s="41">
        <f>AA25-Y25</f>
        <v>2159940</v>
      </c>
      <c r="AF25" s="45">
        <f>AV25</f>
        <v>1.4949285714285712</v>
      </c>
      <c r="AG25" s="28">
        <f>((AW25-AV25)+(AX25-AW25)+(AY25-AX25))/3</f>
        <v>-0.2670142857142857</v>
      </c>
      <c r="AH25" s="4"/>
      <c r="AI25" s="28">
        <f>RSQ(AV25:AY25,AV24:AY24)</f>
        <v>0.7091241467752214</v>
      </c>
      <c r="AJ25" s="51">
        <f>SLOPE(AV25:AY25,AV24:AY24)</f>
        <v>-2.810732491267346E-7</v>
      </c>
      <c r="AK25" s="28">
        <f>INTERCEPT(AV25:AY25,AV24:AY24)</f>
        <v>1.2578675137905591</v>
      </c>
      <c r="AL25" s="28">
        <f>INDEX(LINEST(LN(AV25:AY25),LN(AV24:AY24),TRUE,TRUE),3,1)</f>
        <v>0.86324918829267672</v>
      </c>
      <c r="AM25" s="28">
        <f>INDEX(LINEST(LN(AV25:AY25),LN(AV24:AY24)),1)</f>
        <v>-6.2977119613244162E-2</v>
      </c>
      <c r="AN25" s="28">
        <f>EXP(INDEX(LINEST(LN(AV25:AY25),LN(AV24:AY24)),1,2))</f>
        <v>2.0157348806951489</v>
      </c>
      <c r="AO25" s="47">
        <f>INDEX(LINEST((AV25:AY25),LN(AV24:AY24),TRUE,TRUE),3,1)</f>
        <v>0.93813845794262274</v>
      </c>
      <c r="AP25" s="47">
        <f>INDEX(LINEST((AV25:AY25),LN(AV24:AY24)),1)</f>
        <v>-6.9038623065351842E-2</v>
      </c>
      <c r="AQ25" s="48">
        <f>INDEX(LINEST(LN(AV25:AY25),SQRT(AV24:AY24),TRUE,TRUE),3,1)</f>
        <v>0.94404087783783586</v>
      </c>
      <c r="AR25" s="56">
        <f>INDEX(LINEST(LN(AV25:AY25),SQRT((AV24:AY24))),1)</f>
        <v>-4.8277422930036618E-4</v>
      </c>
      <c r="AS25" s="49">
        <f>INDEX(LINEST(1/(AV25:AY25),1/(SQRT(AV24:AY24)),TRUE,TRUE),3,1)</f>
        <v>0.5413754161459079</v>
      </c>
      <c r="AT25" s="49">
        <f>INDEX(LINEST(1/(AV25:AY25),1/SQRT(AV24:AY24)),1)</f>
        <v>-3.7227239869528219</v>
      </c>
      <c r="AU25" s="3"/>
      <c r="AV25" s="7">
        <v>1.4949285714285712</v>
      </c>
      <c r="AW25" s="7">
        <v>1.0864285714285713</v>
      </c>
      <c r="AX25" s="7">
        <v>0.9548142857142855</v>
      </c>
      <c r="AY25" s="7">
        <v>0.69388571428571411</v>
      </c>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11"/>
      <c r="CS25" s="11"/>
      <c r="CT25" s="11"/>
      <c r="CU25" s="11"/>
    </row>
    <row r="26" spans="1:99" s="9" customFormat="1" ht="12" customHeight="1" x14ac:dyDescent="0.2">
      <c r="A26" s="37">
        <v>43899</v>
      </c>
      <c r="B26" s="1"/>
      <c r="C26" s="1"/>
      <c r="D26" s="32"/>
      <c r="E26" s="41"/>
      <c r="F26" s="32"/>
      <c r="G26" s="32"/>
      <c r="H26" s="32"/>
      <c r="I26" s="32"/>
      <c r="J26" s="32"/>
      <c r="K26" s="36"/>
      <c r="L26" s="36"/>
      <c r="M26" s="32"/>
      <c r="N26" s="32"/>
      <c r="O26" s="32"/>
      <c r="P26" s="32"/>
      <c r="Q26" s="32"/>
      <c r="R26" s="32"/>
      <c r="S26" s="32"/>
      <c r="T26" s="32"/>
      <c r="U26" s="32"/>
      <c r="V26" s="32"/>
      <c r="W26" s="32"/>
      <c r="X26" s="32"/>
      <c r="Y26" s="41"/>
      <c r="Z26" s="32"/>
      <c r="AA26" s="32"/>
      <c r="AB26" s="32"/>
      <c r="AC26" s="28"/>
      <c r="AD26" s="32"/>
      <c r="AE26" s="32"/>
      <c r="AF26" s="45"/>
      <c r="AG26" s="28"/>
      <c r="AH26" s="4"/>
      <c r="AI26" s="28"/>
      <c r="AJ26" s="51"/>
      <c r="AK26" s="28"/>
      <c r="AL26" s="28"/>
      <c r="AM26" s="28"/>
      <c r="AN26" s="28"/>
      <c r="AO26" s="47"/>
      <c r="AP26" s="47"/>
      <c r="AQ26" s="48"/>
      <c r="AR26" s="56"/>
      <c r="AS26" s="49"/>
      <c r="AT26" s="49"/>
      <c r="AU26" s="3"/>
      <c r="AV26" s="18">
        <f>30*60</f>
        <v>1800</v>
      </c>
      <c r="AW26" s="18">
        <f>60*60*24*2</f>
        <v>172800</v>
      </c>
      <c r="AX26" s="18">
        <f>60*60*24*7</f>
        <v>604800</v>
      </c>
      <c r="AY26" s="18">
        <f>60*60*24*21</f>
        <v>1814400</v>
      </c>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1"/>
      <c r="CS26" s="1"/>
      <c r="CT26" s="1"/>
      <c r="CU26" s="1"/>
    </row>
    <row r="27" spans="1:99" s="9" customFormat="1" ht="12" customHeight="1" x14ac:dyDescent="0.25">
      <c r="A27" s="37">
        <v>43899</v>
      </c>
      <c r="B27" s="1" t="s">
        <v>97</v>
      </c>
      <c r="C27" s="1" t="s">
        <v>98</v>
      </c>
      <c r="D27" s="32">
        <v>1981</v>
      </c>
      <c r="E27" s="41">
        <v>1</v>
      </c>
      <c r="F27" s="32">
        <v>48</v>
      </c>
      <c r="G27" s="32">
        <v>48</v>
      </c>
      <c r="H27" s="32" t="s">
        <v>14</v>
      </c>
      <c r="I27" s="32" t="s">
        <v>99</v>
      </c>
      <c r="J27" s="32" t="s">
        <v>134</v>
      </c>
      <c r="K27" s="32">
        <f>IF(J27="syllables",1,IF(J27="trigrams",2,IF(J27="strings",3,IF(J27="visual array",4,IF(J27="characters",5,IF(J27="letters",6,IF(J27="free forms",7,IF(J27="odors",8,IF(J27="words",9,IF(J27="pictures",10,IF(J27="object pictures",11,IF(J27="faces",12,IF(J27="names",13,IF(J27="idioms",14,IF(J27="grades",15,IF(J27="syllable-digit pairs",16,IF(J27="trigram-word pairs",17,IF(J27="word-digit pairs",18,IF(J27="English-Swahili pairs",19,IF(J27="spatial position",20,IF(J27="word pairs",21,IF(J27="word triads",22,IF(J27="generated words",23,IF(J27="word definition pairs",24,IF(J27="math problems",25,IF(J27="famous faces",26,IF(J27="famous names",27,IF(J27="famous voices",28,IF(J27="television programs",29,IF(J27="race horses",30,IF(J27="new vocabulary",31,IF(J27="sentences",32,IF(J27="concepts",33,IF(J27="ad slides",34,IF(J27="scenes",35,IF(J27="famous scenes",36,IF(J27="poems",37,IF(J27="walk",38,IF(J27="faces and events",39,IF(J27="events and names",40,IF(J27="flashbulb",41,IF(J27="stories",42,IF(J27="course material",43,IF(J27="autobiographical",44,IF(J27="novels",45,IF(J27="public events",46,"99"))))))))))))))))))))))))))))))))))))))))))))))</f>
        <v>42</v>
      </c>
      <c r="L27" s="32">
        <f>IF(J27="syllables",1,IF(J27="trigrams",1,IF(J27="strings",1,IF(J27="visual array",1,IF(J27="characters",1,IF(J27="letters",1,IF(J27="free forms",1,IF(J27="odors",2,IF(J27="words",2,IF(J27="pictures",2,IF(J27="object pictures",2,IF(J27="faces",2,IF(J27="names",2,IF(J27="idioms","2",IF(J27="grades",2,IF(J27="syllable-digit pairs",3,IF(J27="trigram-word pairs",3,IF(J27="word-digit pairs",3,IF(J27="English-Swahili pairs",3,IF(J27="spatial position",3,IF(J27="word pairs",4,IF(J27="word triads",4,IF(J27="generated words",4,IF(J27="word definition pairs",4,IF(J27="math problems",4,IF(J27="famous faces",4,IF(J27="famous names",4,IF(J27="famous voices",4,IF(J27="television programs",4,IF(J27="race horses",4,IF(J27="new vocabulary",4,IF(J27="sentences",5,IF(J27="concepts",5,IF(J27="ad slides",5,IF(J27="scenes",5,IF(J27="famous scenes",5,IF(J27="poems",6,IF(J27="walk",6,IF(J27="faces and events",6,IF(J27="events and names",6,IF(J27="flashbulb",7,IF(J27="stories",7,IF(J27="course material",7,IF(J27="autobiographical",7,IF(J27="novels",7,IF(J27="public events",7,"99"))))))))))))))))))))))))))))))))))))))))))))))</f>
        <v>7</v>
      </c>
      <c r="M27" s="32">
        <v>0</v>
      </c>
      <c r="N27" s="32">
        <v>3</v>
      </c>
      <c r="O27" s="32">
        <v>0</v>
      </c>
      <c r="P27" s="32"/>
      <c r="Q27" s="32" t="s">
        <v>18</v>
      </c>
      <c r="R27" s="32">
        <f>IF(Q27="Free Recall",1,IF(Q27="Cued Recall",2,IF(Q27="Recognition",3,IF(Q27="Multiple Choice",4,IF(Q27="Savings",5,IF(Q27="Stem Completion",6,IF(Q27="Fragment Completion",7,IF(Q27="anagram solution",8,IF(Q27="Matching",9,IF(Q27="Problem Solving",10,"99"))))))))))</f>
        <v>3</v>
      </c>
      <c r="S27" s="31" t="s">
        <v>196</v>
      </c>
      <c r="T27" s="31" t="s">
        <v>132</v>
      </c>
      <c r="U27" s="32">
        <f>IF(T27="within",1,0)</f>
        <v>1</v>
      </c>
      <c r="V27" s="31">
        <v>64</v>
      </c>
      <c r="W27" s="32">
        <f>F27*V27</f>
        <v>3072</v>
      </c>
      <c r="X27" s="32">
        <v>4</v>
      </c>
      <c r="Y27" s="41">
        <f>AV26</f>
        <v>1800</v>
      </c>
      <c r="Z27" s="32" t="s">
        <v>56</v>
      </c>
      <c r="AA27" s="32">
        <v>1814400</v>
      </c>
      <c r="AB27" s="32" t="str">
        <f>IF(AA27&lt;60,"1",IF(AA27&lt;=43200,"2",IF(AA27&lt;=777600,"3","4")))</f>
        <v>4</v>
      </c>
      <c r="AC27" s="28">
        <f>AVERAGE(AV26:DA26)</f>
        <v>648450</v>
      </c>
      <c r="AD27" s="32" t="str">
        <f>IF(AC27&lt;60,"1",IF(AC27&lt;=43200,"2",IF(AC27&lt;=777600,"3","4")))</f>
        <v>3</v>
      </c>
      <c r="AE27" s="41">
        <f>AA27-Y27</f>
        <v>1812600</v>
      </c>
      <c r="AF27" s="45">
        <f>AV27</f>
        <v>0.621</v>
      </c>
      <c r="AG27" s="28">
        <f>((AW27-AV27)+(AX27-AW27)+(AY27-AX27))/3</f>
        <v>-0.18000000000000002</v>
      </c>
      <c r="AH27" s="4"/>
      <c r="AI27" s="28">
        <f>RSQ(AV27:AY27,AV26:AY26)</f>
        <v>0.88567792862589612</v>
      </c>
      <c r="AJ27" s="51">
        <f>SLOPE(AV27:AY27,AV26:AY26)</f>
        <v>-3.0460858394646368E-7</v>
      </c>
      <c r="AK27" s="28">
        <f>INTERCEPT(AV27:AY27,AV26:AY26)</f>
        <v>0.59652343626008442</v>
      </c>
      <c r="AL27" s="28">
        <f>INDEX(LINEST(LN(AV27:AY27),LN(AV26:AY26),TRUE,TRUE),3,1)</f>
        <v>0.5472335725809494</v>
      </c>
      <c r="AM27" s="28">
        <f>INDEX(LINEST(LN(AV27:AY27),LN(AV26:AY26)),1)</f>
        <v>-0.23339505230936583</v>
      </c>
      <c r="AN27" s="28">
        <f>EXP(INDEX(LINEST(LN(AV27:AY27),LN(AV26:AY26)),1,2))</f>
        <v>4.8141587072568353</v>
      </c>
      <c r="AO27" s="47">
        <f>INDEX(LINEST((AV27:AY27),LN(AV26:AY26),TRUE,TRUE),3,1)</f>
        <v>0.62598107301864514</v>
      </c>
      <c r="AP27" s="47">
        <f>INDEX(LINEST((AV27:AY27),LN(AV26:AY26)),1)</f>
        <v>-6.8908632532575426E-2</v>
      </c>
      <c r="AQ27" s="48">
        <f>INDEX(LINEST(LN(AV27:AY27),SQRT(AV26:AY26),TRUE,TRUE),3,1)</f>
        <v>0.91686111498518119</v>
      </c>
      <c r="AR27" s="56">
        <f>INDEX(LINEST(LN(AV27:AY27),SQRT((AV26:AY26))),1)</f>
        <v>-1.65227211970749E-3</v>
      </c>
      <c r="AS27" s="49">
        <f>INDEX(LINEST(1/(AV27:AY27),1/(SQRT(AV26:AY26)),TRUE,TRUE),3,1)</f>
        <v>0.21266075324897332</v>
      </c>
      <c r="AT27" s="49">
        <f>INDEX(LINEST(1/(AV27:AY27),1/SQRT(AV26:AY26)),1)</f>
        <v>-213.39604644660105</v>
      </c>
      <c r="AU27" s="3"/>
      <c r="AV27" s="25">
        <v>0.621</v>
      </c>
      <c r="AW27" s="25">
        <v>0.61299999999999999</v>
      </c>
      <c r="AX27" s="25">
        <v>0.28100000000000003</v>
      </c>
      <c r="AY27" s="25">
        <v>8.1000000000000003E-2</v>
      </c>
      <c r="AZ27" s="25"/>
      <c r="BA27" s="57"/>
      <c r="BB27" s="57"/>
      <c r="BC27" s="109"/>
      <c r="BD27" s="109"/>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1"/>
      <c r="CS27" s="1"/>
      <c r="CT27" s="1"/>
      <c r="CU27" s="1"/>
    </row>
    <row r="28" spans="1:99" s="9" customFormat="1" ht="12" customHeight="1" x14ac:dyDescent="0.2">
      <c r="A28" s="37">
        <v>43899</v>
      </c>
      <c r="B28" s="1"/>
      <c r="C28" s="1"/>
      <c r="D28" s="32"/>
      <c r="E28" s="41"/>
      <c r="F28" s="32"/>
      <c r="G28" s="32"/>
      <c r="H28" s="32"/>
      <c r="I28" s="32"/>
      <c r="J28" s="32"/>
      <c r="K28" s="36"/>
      <c r="L28" s="36"/>
      <c r="M28" s="32"/>
      <c r="N28" s="32"/>
      <c r="O28" s="32"/>
      <c r="P28" s="32"/>
      <c r="Q28" s="32"/>
      <c r="R28" s="32"/>
      <c r="S28" s="32"/>
      <c r="T28" s="32"/>
      <c r="U28" s="32"/>
      <c r="V28" s="32"/>
      <c r="W28" s="32"/>
      <c r="X28" s="32"/>
      <c r="Y28" s="41"/>
      <c r="Z28" s="32"/>
      <c r="AA28" s="32"/>
      <c r="AB28" s="32"/>
      <c r="AC28" s="28"/>
      <c r="AD28" s="32"/>
      <c r="AE28" s="32"/>
      <c r="AF28" s="45"/>
      <c r="AG28" s="28"/>
      <c r="AH28" s="4"/>
      <c r="AI28" s="28"/>
      <c r="AJ28" s="51"/>
      <c r="AK28" s="28"/>
      <c r="AL28" s="28"/>
      <c r="AM28" s="28"/>
      <c r="AN28" s="28"/>
      <c r="AO28" s="47"/>
      <c r="AP28" s="47"/>
      <c r="AQ28" s="48"/>
      <c r="AR28" s="56"/>
      <c r="AS28" s="49"/>
      <c r="AT28" s="49"/>
      <c r="AU28" s="3"/>
      <c r="AV28" s="18">
        <f>30*60</f>
        <v>1800</v>
      </c>
      <c r="AW28" s="18">
        <f>60*60*24*2</f>
        <v>172800</v>
      </c>
      <c r="AX28" s="18">
        <f>60*60*24*7</f>
        <v>604800</v>
      </c>
      <c r="AY28" s="18">
        <f>60*60*24*21</f>
        <v>1814400</v>
      </c>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1"/>
      <c r="CS28" s="1"/>
      <c r="CT28" s="1"/>
      <c r="CU28" s="1"/>
    </row>
    <row r="29" spans="1:99" s="9" customFormat="1" ht="12" customHeight="1" x14ac:dyDescent="0.25">
      <c r="A29" s="37">
        <v>43899</v>
      </c>
      <c r="B29" s="1" t="s">
        <v>97</v>
      </c>
      <c r="C29" s="1" t="s">
        <v>98</v>
      </c>
      <c r="D29" s="32">
        <v>1981</v>
      </c>
      <c r="E29" s="41">
        <v>1</v>
      </c>
      <c r="F29" s="32">
        <v>48</v>
      </c>
      <c r="G29" s="32">
        <v>48</v>
      </c>
      <c r="H29" s="32" t="s">
        <v>14</v>
      </c>
      <c r="I29" s="32" t="s">
        <v>100</v>
      </c>
      <c r="J29" s="32" t="s">
        <v>134</v>
      </c>
      <c r="K29" s="32">
        <f>IF(J29="syllables",1,IF(J29="trigrams",2,IF(J29="strings",3,IF(J29="visual array",4,IF(J29="characters",5,IF(J29="letters",6,IF(J29="free forms",7,IF(J29="odors",8,IF(J29="words",9,IF(J29="pictures",10,IF(J29="object pictures",11,IF(J29="faces",12,IF(J29="names",13,IF(J29="idioms",14,IF(J29="grades",15,IF(J29="syllable-digit pairs",16,IF(J29="trigram-word pairs",17,IF(J29="word-digit pairs",18,IF(J29="English-Swahili pairs",19,IF(J29="spatial position",20,IF(J29="word pairs",21,IF(J29="word triads",22,IF(J29="generated words",23,IF(J29="word definition pairs",24,IF(J29="math problems",25,IF(J29="famous faces",26,IF(J29="famous names",27,IF(J29="famous voices",28,IF(J29="television programs",29,IF(J29="race horses",30,IF(J29="new vocabulary",31,IF(J29="sentences",32,IF(J29="concepts",33,IF(J29="ad slides",34,IF(J29="scenes",35,IF(J29="famous scenes",36,IF(J29="poems",37,IF(J29="walk",38,IF(J29="faces and events",39,IF(J29="events and names",40,IF(J29="flashbulb",41,IF(J29="stories",42,IF(J29="course material",43,IF(J29="autobiographical",44,IF(J29="novels",45,IF(J29="public events",46,"99"))))))))))))))))))))))))))))))))))))))))))))))</f>
        <v>42</v>
      </c>
      <c r="L29" s="32">
        <f>IF(J29="syllables",1,IF(J29="trigrams",1,IF(J29="strings",1,IF(J29="visual array",1,IF(J29="characters",1,IF(J29="letters",1,IF(J29="free forms",1,IF(J29="odors",2,IF(J29="words",2,IF(J29="pictures",2,IF(J29="object pictures",2,IF(J29="faces",2,IF(J29="names",2,IF(J29="idioms","2",IF(J29="grades",2,IF(J29="syllable-digit pairs",3,IF(J29="trigram-word pairs",3,IF(J29="word-digit pairs",3,IF(J29="English-Swahili pairs",3,IF(J29="spatial position",3,IF(J29="word pairs",4,IF(J29="word triads",4,IF(J29="generated words",4,IF(J29="word definition pairs",4,IF(J29="math problems",4,IF(J29="famous faces",4,IF(J29="famous names",4,IF(J29="famous voices",4,IF(J29="television programs",4,IF(J29="race horses",4,IF(J29="new vocabulary",4,IF(J29="sentences",5,IF(J29="concepts",5,IF(J29="ad slides",5,IF(J29="scenes",5,IF(J29="famous scenes",5,IF(J29="poems",6,IF(J29="walk",6,IF(J29="faces and events",6,IF(J29="events and names",6,IF(J29="flashbulb",7,IF(J29="stories",7,IF(J29="course material",7,IF(J29="autobiographical",7,IF(J29="novels",7,IF(J29="public events",7,"99"))))))))))))))))))))))))))))))))))))))))))))))</f>
        <v>7</v>
      </c>
      <c r="M29" s="32">
        <v>0</v>
      </c>
      <c r="N29" s="32">
        <v>3</v>
      </c>
      <c r="O29" s="32">
        <v>0</v>
      </c>
      <c r="P29" s="32"/>
      <c r="Q29" s="32" t="s">
        <v>18</v>
      </c>
      <c r="R29" s="32">
        <f>IF(Q29="Free Recall",1,IF(Q29="Cued Recall",2,IF(Q29="Recognition",3,IF(Q29="Multiple Choice",4,IF(Q29="Savings",5,IF(Q29="Stem Completion",6,IF(Q29="Fragment Completion",7,IF(Q29="anagram solution",8,IF(Q29="Matching",9,IF(Q29="Problem Solving",10,"99"))))))))))</f>
        <v>3</v>
      </c>
      <c r="S29" s="31" t="s">
        <v>196</v>
      </c>
      <c r="T29" s="31" t="s">
        <v>132</v>
      </c>
      <c r="U29" s="32">
        <f>IF(T29="within",1,0)</f>
        <v>1</v>
      </c>
      <c r="V29" s="31">
        <v>64</v>
      </c>
      <c r="W29" s="32">
        <f>F29*V29</f>
        <v>3072</v>
      </c>
      <c r="X29" s="32">
        <v>4</v>
      </c>
      <c r="Y29" s="41">
        <f>AV28</f>
        <v>1800</v>
      </c>
      <c r="Z29" s="32" t="s">
        <v>56</v>
      </c>
      <c r="AA29" s="32">
        <v>1814400</v>
      </c>
      <c r="AB29" s="32" t="str">
        <f>IF(AA29&lt;60,"1",IF(AA29&lt;=43200,"2",IF(AA29&lt;=777600,"3","4")))</f>
        <v>4</v>
      </c>
      <c r="AC29" s="28">
        <f>AVERAGE(AV28:DA28)</f>
        <v>648450</v>
      </c>
      <c r="AD29" s="32" t="str">
        <f>IF(AC29&lt;60,"1",IF(AC29&lt;=43200,"2",IF(AC29&lt;=777600,"3","4")))</f>
        <v>3</v>
      </c>
      <c r="AE29" s="41">
        <f>AA29-Y29</f>
        <v>1812600</v>
      </c>
      <c r="AF29" s="45">
        <f>AV29</f>
        <v>1.619</v>
      </c>
      <c r="AG29" s="28">
        <f>((AW29-AV29)+(AX29-AW29)+(AY29-AX29))/3</f>
        <v>-0.35866666666666669</v>
      </c>
      <c r="AH29" s="4"/>
      <c r="AI29" s="28">
        <f>RSQ(AV29:AY29,AV28:AY28)</f>
        <v>0.77405323041174723</v>
      </c>
      <c r="AJ29" s="51">
        <f>SLOPE(AV29:AY29,AV28:AY28)</f>
        <v>-4.7367852606225331E-7</v>
      </c>
      <c r="AK29" s="28">
        <f>INTERCEPT(AV29:AY29,AV28:AY28)</f>
        <v>1.3631568402250682</v>
      </c>
      <c r="AL29" s="28">
        <f>INDEX(LINEST(LN(AV29:AY29),LN(AV28:AY28),TRUE,TRUE),3,1)</f>
        <v>0.77899535003621601</v>
      </c>
      <c r="AM29" s="28">
        <f>INDEX(LINEST(LN(AV29:AY29),LN(AV28:AY28)),1)</f>
        <v>-0.13051652649325521</v>
      </c>
      <c r="AN29" s="28">
        <f>EXP(INDEX(LINEST(LN(AV29:AY29),LN(AV28:AY28)),1,2))</f>
        <v>4.5985383070192345</v>
      </c>
      <c r="AO29" s="47">
        <f>INDEX(LINEST((AV29:AY29),LN(AV28:AY28),TRUE,TRUE),3,1)</f>
        <v>0.90123138000251513</v>
      </c>
      <c r="AP29" s="47">
        <f>INDEX(LINEST((AV29:AY29),LN(AV28:AY28)),1)</f>
        <v>-0.13753246890885878</v>
      </c>
      <c r="AQ29" s="48">
        <f>INDEX(LINEST(LN(AV29:AY29),SQRT(AV28:AY28),TRUE,TRUE),3,1)</f>
        <v>0.93079506348010388</v>
      </c>
      <c r="AR29" s="56">
        <f>INDEX(LINEST(LN(AV29:AY29),SQRT((AV28:AY28))),1)</f>
        <v>-7.802784796588965E-4</v>
      </c>
      <c r="AS29" s="49">
        <f>INDEX(LINEST(1/(AV29:AY29),1/(SQRT(AV28:AY28)),TRUE,TRUE),3,1)</f>
        <v>0.42514709343747298</v>
      </c>
      <c r="AT29" s="49">
        <f>INDEX(LINEST(1/(AV29:AY29),1/SQRT(AV28:AY28)),1)</f>
        <v>-30.734206867555379</v>
      </c>
      <c r="AU29" s="3"/>
      <c r="AV29" s="25">
        <v>1.619</v>
      </c>
      <c r="AW29" s="25">
        <v>1.0329999999999999</v>
      </c>
      <c r="AX29" s="25">
        <v>1.0289999999999999</v>
      </c>
      <c r="AY29" s="25">
        <v>0.54300000000000004</v>
      </c>
      <c r="AZ29" s="25"/>
      <c r="BA29" s="57"/>
      <c r="BB29" s="57"/>
      <c r="BC29" s="109"/>
      <c r="BD29" s="109"/>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1"/>
      <c r="CS29" s="1"/>
      <c r="CT29" s="1"/>
      <c r="CU29" s="1"/>
    </row>
    <row r="30" spans="1:99" s="9" customFormat="1" ht="12" customHeight="1" x14ac:dyDescent="0.2">
      <c r="A30" s="37">
        <v>43509</v>
      </c>
      <c r="B30" s="1"/>
      <c r="C30" s="1"/>
      <c r="D30" s="32"/>
      <c r="E30" s="41"/>
      <c r="F30" s="32"/>
      <c r="G30" s="32"/>
      <c r="H30" s="32"/>
      <c r="I30" s="32"/>
      <c r="J30" s="32"/>
      <c r="K30" s="36"/>
      <c r="L30" s="36"/>
      <c r="M30" s="32"/>
      <c r="N30" s="32"/>
      <c r="O30" s="32"/>
      <c r="P30" s="32"/>
      <c r="Q30" s="32"/>
      <c r="R30" s="32"/>
      <c r="S30" s="32"/>
      <c r="T30" s="32"/>
      <c r="U30" s="32"/>
      <c r="V30" s="32"/>
      <c r="W30" s="32"/>
      <c r="X30" s="32"/>
      <c r="Y30" s="41"/>
      <c r="Z30" s="32"/>
      <c r="AA30" s="32"/>
      <c r="AB30" s="32"/>
      <c r="AC30" s="32"/>
      <c r="AD30" s="32"/>
      <c r="AE30" s="32"/>
      <c r="AF30" s="45"/>
      <c r="AG30" s="28"/>
      <c r="AH30" s="4"/>
      <c r="AI30" s="28"/>
      <c r="AJ30" s="51"/>
      <c r="AK30" s="28"/>
      <c r="AL30" s="28"/>
      <c r="AM30" s="28"/>
      <c r="AN30" s="28"/>
      <c r="AO30" s="28"/>
      <c r="AP30" s="28"/>
      <c r="AQ30" s="28"/>
      <c r="AR30" s="51"/>
      <c r="AS30" s="28"/>
      <c r="AT30" s="28"/>
      <c r="AU30" s="4"/>
      <c r="AV30" s="18">
        <v>15</v>
      </c>
      <c r="AW30" s="18">
        <v>300</v>
      </c>
      <c r="AX30" s="18">
        <v>900</v>
      </c>
      <c r="AY30" s="18">
        <v>1800</v>
      </c>
      <c r="AZ30" s="18">
        <v>3600</v>
      </c>
      <c r="BA30" s="18">
        <v>7200</v>
      </c>
      <c r="BB30" s="18">
        <v>14400</v>
      </c>
      <c r="BC30" s="18">
        <v>28800</v>
      </c>
      <c r="BD30" s="18">
        <v>43200</v>
      </c>
      <c r="BE30" s="18">
        <v>86400</v>
      </c>
      <c r="BF30" s="18">
        <v>172800</v>
      </c>
      <c r="BG30" s="25">
        <v>345600</v>
      </c>
      <c r="BH30" s="25">
        <v>604800</v>
      </c>
      <c r="BI30" s="25">
        <v>3628800</v>
      </c>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1"/>
      <c r="CS30" s="1"/>
      <c r="CT30" s="1"/>
      <c r="CU30" s="1"/>
    </row>
    <row r="31" spans="1:99" s="9" customFormat="1" ht="12" customHeight="1" x14ac:dyDescent="0.2">
      <c r="A31" s="37">
        <v>43509</v>
      </c>
      <c r="B31" s="1" t="s">
        <v>46</v>
      </c>
      <c r="C31" s="1" t="s">
        <v>47</v>
      </c>
      <c r="D31" s="32">
        <v>1913</v>
      </c>
      <c r="E31" s="41">
        <v>1</v>
      </c>
      <c r="F31" s="32">
        <v>5</v>
      </c>
      <c r="G31" s="32">
        <v>5</v>
      </c>
      <c r="H31" s="32" t="s">
        <v>115</v>
      </c>
      <c r="I31" s="32"/>
      <c r="J31" s="32" t="s">
        <v>12</v>
      </c>
      <c r="K31" s="32">
        <f>IF(J31="syllables",1,IF(J31="trigrams",2,IF(J31="strings",3,IF(J31="visual array",4,IF(J31="characters",5,IF(J31="letters",6,IF(J31="free forms",7,IF(J31="odors",8,IF(J31="words",9,IF(J31="pictures",10,IF(J31="object pictures",11,IF(J31="faces",12,IF(J31="names",13,IF(J31="idioms",14,IF(J31="grades",15,IF(J31="syllable-digit pairs",16,IF(J31="trigram-word pairs",17,IF(J31="word-digit pairs",18,IF(J31="English-Swahili pairs",19,IF(J31="spatial position",20,IF(J31="word pairs",21,IF(J31="word triads",22,IF(J31="generated words",23,IF(J31="word definition pairs",24,IF(J31="math problems",25,IF(J31="famous faces",26,IF(J31="famous names",27,IF(J31="famous voices",28,IF(J31="television programs",29,IF(J31="race horses",30,IF(J31="new vocabulary",31,IF(J31="sentences",32,IF(J31="concepts",33,IF(J31="ad slides",34,IF(J31="scenes",35,IF(J31="famous scenes",36,IF(J31="poems",37,IF(J31="walk",38,IF(J31="faces and events",39,IF(J31="events and names",40,IF(J31="flashbulb",41,IF(J31="stories",42,IF(J31="course material",43,IF(J31="autobiographical",44,IF(J31="novels",45,IF(J31="public events",46,"99"))))))))))))))))))))))))))))))))))))))))))))))</f>
        <v>9</v>
      </c>
      <c r="L31" s="32">
        <f>IF(J31="syllables",1,IF(J31="trigrams",1,IF(J31="strings",1,IF(J31="visual array",1,IF(J31="characters",1,IF(J31="letters",1,IF(J31="free forms",1,IF(J31="odors",2,IF(J31="words",2,IF(J31="pictures",2,IF(J31="object pictures",2,IF(J31="faces",2,IF(J31="names",2,IF(J31="idioms","2",IF(J31="grades",2,IF(J31="syllable-digit pairs",3,IF(J31="trigram-word pairs",3,IF(J31="word-digit pairs",3,IF(J31="English-Swahili pairs",3,IF(J31="spatial position",3,IF(J31="word pairs",4,IF(J31="word triads",4,IF(J31="generated words",4,IF(J31="word definition pairs",4,IF(J31="math problems",4,IF(J31="famous faces",4,IF(J31="famous names",4,IF(J31="famous voices",4,IF(J31="television programs",4,IF(J31="race horses",4,IF(J31="new vocabulary",4,IF(J31="sentences",5,IF(J31="concepts",5,IF(J31="ad slides",5,IF(J31="scenes",5,IF(J31="famous scenes",5,IF(J31="poems",6,IF(J31="walk",6,IF(J31="faces and events",6,IF(J31="events and names",6,IF(J31="flashbulb",7,IF(J31="stories",7,IF(J31="course material",7,IF(J31="autobiographical",7,IF(J31="novels",7,IF(J31="public events",7,"99"))))))))))))))))))))))))))))))))))))))))))))))</f>
        <v>2</v>
      </c>
      <c r="M31" s="32">
        <v>0</v>
      </c>
      <c r="N31" s="32">
        <v>1</v>
      </c>
      <c r="O31" s="32">
        <v>1</v>
      </c>
      <c r="P31" s="32" t="s">
        <v>48</v>
      </c>
      <c r="Q31" s="32" t="s">
        <v>18</v>
      </c>
      <c r="R31" s="32">
        <f>IF(Q31="Free Recall",1,IF(Q31="Cued Recall",2,IF(Q31="Recognition",3,IF(Q31="Multiple Choice",4,IF(Q31="Savings",5,IF(Q31="Stem Completion",6,IF(Q31="Fragment Completion",7,IF(Q31="anagram solution",8,IF(Q31="Matching",9,IF(Q31="Problem Solving",10,"99"))))))))))</f>
        <v>3</v>
      </c>
      <c r="S31" s="31" t="s">
        <v>196</v>
      </c>
      <c r="T31" s="31" t="s">
        <v>132</v>
      </c>
      <c r="U31" s="32">
        <f>IF(T31="within",1,0)</f>
        <v>1</v>
      </c>
      <c r="V31" s="31">
        <v>80</v>
      </c>
      <c r="W31" s="32">
        <f>F31*V31</f>
        <v>400</v>
      </c>
      <c r="X31" s="32">
        <v>14</v>
      </c>
      <c r="Y31" s="41">
        <f>AV30</f>
        <v>15</v>
      </c>
      <c r="Z31" s="32" t="s">
        <v>50</v>
      </c>
      <c r="AA31" s="32">
        <v>3628800</v>
      </c>
      <c r="AB31" s="32" t="str">
        <f>IF(AA31&lt;60,"1",IF(AA31&lt;=43200,"2",IF(AA31&lt;=777600,"3","4")))</f>
        <v>4</v>
      </c>
      <c r="AC31" s="28">
        <f>AVERAGE(AV30:DA30)</f>
        <v>352758.21428571426</v>
      </c>
      <c r="AD31" s="32" t="str">
        <f>IF(AC31&lt;60,"1",IF(AC31&lt;=43200,"2",IF(AC31&lt;=777600,"3","4")))</f>
        <v>3</v>
      </c>
      <c r="AE31" s="41">
        <f>AA31-Y31</f>
        <v>3628785</v>
      </c>
      <c r="AF31" s="45">
        <f>AV31</f>
        <v>2.763830336836715</v>
      </c>
      <c r="AG31" s="28">
        <f>((AW31-AV31)+(AX31-AW31)+(AY31-AX31)+(AZ31-AY31)+(BA31-AZ31)+(BB31-BA31)+(BC31-BB31)+(BD31-BC31)+(BE31-BD31)+(BF31-BE31)+(BG31-BF31)+(BH31-BG31)+(BI31-BH31))/13</f>
        <v>-0.18350719109931768</v>
      </c>
      <c r="AH31" s="4"/>
      <c r="AI31" s="28">
        <f>RSQ(AV31:BI31,AV30:BI30)</f>
        <v>0.22876828550649431</v>
      </c>
      <c r="AJ31" s="51">
        <f>SLOPE(AV31:BI31,AV30:BI30)</f>
        <v>-3.3963024176664068E-7</v>
      </c>
      <c r="AK31" s="28">
        <f>INTERCEPT(AV31:BI31,AV30:BI30)</f>
        <v>1.3730963601611619</v>
      </c>
      <c r="AL31" s="28" cm="1">
        <f t="array" ref="AL31">INDEX(LINEST(LN(AV31:BI31),LN(AV30:BI30),TRUE,TRUE),3,1)</f>
        <v>0.89799678359320734</v>
      </c>
      <c r="AM31" s="28" cm="1">
        <f t="array" ref="AM31">_xlfn.SINGLE(INDEX(LINEST(LN(AV31:BI31),LN(AV30:BI30)),1))</f>
        <v>-0.17446648100447038</v>
      </c>
      <c r="AN31" s="28" cm="1">
        <f t="array" ref="AN31">EXP(INDEX(LINEST(LN(AV31:BI31),LN(AV30:BI30)),1,2))</f>
        <v>5.7649256663540909</v>
      </c>
      <c r="AO31" s="47" cm="1">
        <f t="array" ref="AO31">INDEX(LINEST((AV31:BI31),LN(AV30:BI30),TRUE,TRUE),3,1)</f>
        <v>0.96023944899125246</v>
      </c>
      <c r="AP31" s="47" cm="1">
        <f t="array" ref="AP31">_xlfn.SINGLE(INDEX(LINEST((AV31:BI31),LN(AV30:BI30)),1))</f>
        <v>-0.20171064150453347</v>
      </c>
      <c r="AQ31" s="48" cm="1">
        <f t="array" ref="AQ31">INDEX(LINEST(LN(AV31:BI31),SQRT(AV30:BI30),TRUE,TRUE),3,1)</f>
        <v>0.65840451018666968</v>
      </c>
      <c r="AR31" s="56" cm="1">
        <f t="array" ref="AR31">_xlfn.SINGLE(INDEX(LINEST(LN(AV31:BI31),SQRT((AV30:BI30))),1))</f>
        <v>-9.7339215806743133E-4</v>
      </c>
      <c r="AS31" s="49" cm="1">
        <f t="array" ref="AS31">INDEX(LINEST(1/(AV31:BI31),1/(SQRT(AV30:BI30)),TRUE,TRUE),3,1)</f>
        <v>0.1682838412581201</v>
      </c>
      <c r="AT31" s="49" cm="1">
        <f t="array" ref="AT31">_xlfn.SINGLE(INDEX(LINEST(1/(AV31:BI31),1/SQRT(AV30:BI30)),1))</f>
        <v>-4.6548244805984753</v>
      </c>
      <c r="AU31" s="3"/>
      <c r="AV31" s="25">
        <v>2.763830336836715</v>
      </c>
      <c r="AW31" s="25">
        <v>2.160638681629913</v>
      </c>
      <c r="AX31" s="25">
        <v>1.7083817834502564</v>
      </c>
      <c r="AY31" s="25">
        <v>1.6163171617541385</v>
      </c>
      <c r="AZ31" s="25">
        <v>1.5208540854994377</v>
      </c>
      <c r="BA31" s="25">
        <v>1.186542737393125</v>
      </c>
      <c r="BB31" s="25">
        <v>1.4126051256801748</v>
      </c>
      <c r="BC31" s="25">
        <v>1.1656830145424326</v>
      </c>
      <c r="BD31" s="25">
        <v>1.1479048371371467</v>
      </c>
      <c r="BE31" s="25">
        <v>0.71692014759208744</v>
      </c>
      <c r="BF31" s="25">
        <v>0.75177711596125441</v>
      </c>
      <c r="BG31" s="25">
        <v>0.6610593307394681</v>
      </c>
      <c r="BH31" s="25">
        <v>0.3552948250521733</v>
      </c>
      <c r="BI31" s="25">
        <v>0.37823685254558498</v>
      </c>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1"/>
      <c r="CS31" s="1"/>
      <c r="CT31" s="1"/>
      <c r="CU31" s="1"/>
    </row>
    <row r="32" spans="1:99" s="9" customFormat="1" ht="12" customHeight="1" x14ac:dyDescent="0.2">
      <c r="A32" s="37">
        <v>43509</v>
      </c>
      <c r="B32" s="1"/>
      <c r="C32" s="1"/>
      <c r="D32" s="32"/>
      <c r="E32" s="41"/>
      <c r="F32" s="32"/>
      <c r="G32" s="32"/>
      <c r="H32" s="32"/>
      <c r="I32" s="32"/>
      <c r="J32" s="32"/>
      <c r="K32" s="36"/>
      <c r="L32" s="36"/>
      <c r="M32" s="32"/>
      <c r="N32" s="32"/>
      <c r="O32" s="32"/>
      <c r="P32" s="32"/>
      <c r="Q32" s="32"/>
      <c r="R32" s="32"/>
      <c r="S32" s="32"/>
      <c r="T32" s="32"/>
      <c r="U32" s="32"/>
      <c r="V32" s="32"/>
      <c r="W32" s="32"/>
      <c r="X32" s="32"/>
      <c r="Y32" s="41"/>
      <c r="Z32" s="32"/>
      <c r="AA32" s="32"/>
      <c r="AB32" s="32"/>
      <c r="AC32" s="32"/>
      <c r="AD32" s="32"/>
      <c r="AE32" s="32"/>
      <c r="AF32" s="45"/>
      <c r="AG32" s="28"/>
      <c r="AH32" s="4"/>
      <c r="AI32" s="28"/>
      <c r="AJ32" s="51"/>
      <c r="AK32" s="28"/>
      <c r="AL32" s="28"/>
      <c r="AM32" s="28"/>
      <c r="AN32" s="28"/>
      <c r="AO32" s="28"/>
      <c r="AP32" s="28"/>
      <c r="AQ32" s="28"/>
      <c r="AR32" s="51"/>
      <c r="AS32" s="28"/>
      <c r="AT32" s="28"/>
      <c r="AU32" s="4"/>
      <c r="AV32" s="18">
        <f>24*60*60</f>
        <v>86400</v>
      </c>
      <c r="AW32" s="18">
        <f>2*24*60*60</f>
        <v>172800</v>
      </c>
      <c r="AX32" s="18">
        <f>30*24*60*60</f>
        <v>2592000</v>
      </c>
      <c r="AY32" s="18">
        <f>90*24*60*60</f>
        <v>7776000</v>
      </c>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1"/>
      <c r="CS32" s="1"/>
      <c r="CT32" s="1"/>
      <c r="CU32" s="1"/>
    </row>
    <row r="33" spans="1:99" s="9" customFormat="1" ht="12" customHeight="1" x14ac:dyDescent="0.2">
      <c r="A33" s="37">
        <v>43509</v>
      </c>
      <c r="B33" s="17" t="s">
        <v>66</v>
      </c>
      <c r="C33" s="1" t="s">
        <v>67</v>
      </c>
      <c r="D33" s="32">
        <v>2006</v>
      </c>
      <c r="E33" s="41">
        <v>1</v>
      </c>
      <c r="F33" s="32">
        <v>22</v>
      </c>
      <c r="G33" s="32">
        <v>22</v>
      </c>
      <c r="H33" s="32" t="s">
        <v>154</v>
      </c>
      <c r="I33" s="32" t="s">
        <v>152</v>
      </c>
      <c r="J33" s="32" t="s">
        <v>82</v>
      </c>
      <c r="K33" s="32">
        <f>IF(J33="syllables",1,IF(J33="trigrams",2,IF(J33="strings",3,IF(J33="visual array",4,IF(J33="characters",5,IF(J33="letters",6,IF(J33="free forms",7,IF(J33="odors",8,IF(J33="words",9,IF(J33="pictures",10,IF(J33="object pictures",11,IF(J33="faces",12,IF(J33="names",13,IF(J33="idioms",14,IF(J33="grades",15,IF(J33="syllable-digit pairs",16,IF(J33="trigram-word pairs",17,IF(J33="word-digit pairs",18,IF(J33="English-Swahili pairs",19,IF(J33="spatial position",20,IF(J33="word pairs",21,IF(J33="word triads",22,IF(J33="generated words",23,IF(J33="word definition pairs",24,IF(J33="math problems",25,IF(J33="famous faces",26,IF(J33="famous names",27,IF(J33="famous voices",28,IF(J33="television programs",29,IF(J33="race horses",30,IF(J33="new vocabulary",31,IF(J33="sentences",32,IF(J33="concepts",33,IF(J33="ad slides",34,IF(J33="scenes",35,IF(J33="famous scenes",36,IF(J33="poems",37,IF(J33="walk",38,IF(J33="faces and events",39,IF(J33="events and names",40,IF(J33="flashbulb",41,IF(J33="stories",42,IF(J33="course material",43,IF(J33="autobiographical",44,IF(J33="novels",45,IF(J33="public events",46,"99"))))))))))))))))))))))))))))))))))))))))))))))</f>
        <v>10</v>
      </c>
      <c r="L33" s="32">
        <f>IF(J33="syllables",1,IF(J33="trigrams",1,IF(J33="strings",1,IF(J33="visual array",1,IF(J33="characters",1,IF(J33="letters",1,IF(J33="free forms",1,IF(J33="odors",2,IF(J33="words",2,IF(J33="pictures",2,IF(J33="object pictures",2,IF(J33="faces",2,IF(J33="names",2,IF(J33="idioms","2",IF(J33="grades",2,IF(J33="syllable-digit pairs",3,IF(J33="trigram-word pairs",3,IF(J33="word-digit pairs",3,IF(J33="English-Swahili pairs",3,IF(J33="spatial position",3,IF(J33="word pairs",4,IF(J33="word triads",4,IF(J33="generated words",4,IF(J33="word definition pairs",4,IF(J33="math problems",4,IF(J33="famous faces",4,IF(J33="famous names",4,IF(J33="famous voices",4,IF(J33="television programs",4,IF(J33="race horses",4,IF(J33="new vocabulary",4,IF(J33="sentences",5,IF(J33="concepts",5,IF(J33="ad slides",5,IF(J33="scenes",5,IF(J33="famous scenes",5,IF(J33="poems",6,IF(J33="walk",6,IF(J33="faces and events",6,IF(J33="events and names",6,IF(J33="flashbulb",7,IF(J33="stories",7,IF(J33="course material",7,IF(J33="autobiographical",7,IF(J33="novels",7,IF(J33="public events",7,"99"))))))))))))))))))))))))))))))))))))))))))))))</f>
        <v>2</v>
      </c>
      <c r="M33" s="32">
        <v>0</v>
      </c>
      <c r="N33" s="32">
        <v>1</v>
      </c>
      <c r="O33" s="32">
        <v>0</v>
      </c>
      <c r="P33" s="32"/>
      <c r="Q33" s="32" t="s">
        <v>18</v>
      </c>
      <c r="R33" s="32">
        <f>IF(Q33="Free Recall",1,IF(Q33="Cued Recall",2,IF(Q33="Recognition",3,IF(Q33="Multiple Choice",4,IF(Q33="Savings",5,IF(Q33="Stem Completion",6,IF(Q33="Fragment Completion",7,IF(Q33="anagram solution",8,IF(Q33="Matching",9,IF(Q33="Problem Solving",10,"99"))))))))))</f>
        <v>3</v>
      </c>
      <c r="S33" s="31" t="s">
        <v>196</v>
      </c>
      <c r="T33" s="31" t="s">
        <v>132</v>
      </c>
      <c r="U33" s="32">
        <f>IF(T33="within",1,0)</f>
        <v>1</v>
      </c>
      <c r="V33" s="31">
        <v>480</v>
      </c>
      <c r="W33" s="32">
        <f>F33*V33</f>
        <v>10560</v>
      </c>
      <c r="X33" s="32">
        <v>4</v>
      </c>
      <c r="Y33" s="41">
        <f>AV32</f>
        <v>86400</v>
      </c>
      <c r="Z33" s="32" t="s">
        <v>63</v>
      </c>
      <c r="AA33" s="32">
        <f>30*24*60*60*3</f>
        <v>7776000</v>
      </c>
      <c r="AB33" s="32" t="str">
        <f>IF(AA33&lt;60,"1",IF(AA33&lt;=43200,"2",IF(AA33&lt;=777600,"3","4")))</f>
        <v>4</v>
      </c>
      <c r="AC33" s="28">
        <f>AVERAGE(AV32:DA32)</f>
        <v>2656800</v>
      </c>
      <c r="AD33" s="32" t="str">
        <f>IF(AC33&lt;60,"1",IF(AC33&lt;=43200,"2",IF(AC33&lt;=777600,"3","4")))</f>
        <v>4</v>
      </c>
      <c r="AE33" s="41">
        <f>AA33-Y33</f>
        <v>7689600</v>
      </c>
      <c r="AF33" s="45">
        <f>AV33</f>
        <v>1.4</v>
      </c>
      <c r="AG33" s="28">
        <f>((AW33-AV33)+(AX33-AW33)+(AY33-AX33))/3</f>
        <v>-0.3</v>
      </c>
      <c r="AH33" s="4"/>
      <c r="AI33" s="28">
        <f>RSQ(AV33:AY33,AV32:AY32)</f>
        <v>0.81232353950647607</v>
      </c>
      <c r="AJ33" s="51">
        <f>SLOPE(AV33:AY33,AV32:AY32)</f>
        <v>-1.1063819791262231E-7</v>
      </c>
      <c r="AK33" s="28">
        <f>INTERCEPT(AV33:AY33,AV32:AY32)</f>
        <v>1.268943564214255</v>
      </c>
      <c r="AL33" s="28">
        <f>INDEX(LINEST(LN(AV33:AY33),LN(AV32:AY32),TRUE,TRUE),3,1)</f>
        <v>0.99029489486383748</v>
      </c>
      <c r="AM33" s="28">
        <f>INDEX(LINEST(LN(AV33:AY33),LN(AV32:AY32)),1)</f>
        <v>-0.22999800949898919</v>
      </c>
      <c r="AN33" s="28">
        <f>EXP(INDEX(LINEST(LN(AV33:AY33),LN(AV32:AY32)),1,2))</f>
        <v>20.000183328559373</v>
      </c>
      <c r="AO33" s="47">
        <f>INDEX(LINEST((AV33:AY33),LN(AV32:AY32),TRUE,TRUE),3,1)</f>
        <v>0.99775492305111202</v>
      </c>
      <c r="AP33" s="47">
        <f>INDEX(LINEST((AV33:AY33),LN(AV32:AY32)),1)</f>
        <v>-0.20586058239977972</v>
      </c>
      <c r="AQ33" s="48">
        <f>INDEX(LINEST(LN(AV33:AY33),SQRT(AV32:AY32),TRUE,TRUE),3,1)</f>
        <v>0.97929778893025743</v>
      </c>
      <c r="AR33" s="56">
        <f>INDEX(LINEST(LN(AV33:AY33),SQRT((AV32:AY32))),1)</f>
        <v>-4.198973739358851E-4</v>
      </c>
      <c r="AS33" s="49">
        <f>INDEX(LINEST(1/(AV33:AY33),1/(SQRT(AV32:AY32)),TRUE,TRUE),3,1)</f>
        <v>0.85008222022769087</v>
      </c>
      <c r="AT33" s="49">
        <f>INDEX(LINEST(1/(AV33:AY33),1/SQRT(AV32:AY32)),1)</f>
        <v>-385.33573364594264</v>
      </c>
      <c r="AU33" s="3"/>
      <c r="AV33" s="25">
        <v>1.4</v>
      </c>
      <c r="AW33" s="25">
        <v>1.3</v>
      </c>
      <c r="AX33" s="25">
        <v>0.7</v>
      </c>
      <c r="AY33" s="25">
        <v>0.5</v>
      </c>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1"/>
      <c r="CS33" s="1"/>
      <c r="CT33" s="1"/>
      <c r="CU33" s="1"/>
    </row>
    <row r="34" spans="1:99" s="9" customFormat="1" ht="12" customHeight="1" x14ac:dyDescent="0.2">
      <c r="A34" s="37">
        <v>43509</v>
      </c>
      <c r="B34" s="1"/>
      <c r="C34" s="1"/>
      <c r="D34" s="32"/>
      <c r="E34" s="41"/>
      <c r="F34" s="32"/>
      <c r="G34" s="32"/>
      <c r="H34" s="32"/>
      <c r="I34" s="32"/>
      <c r="J34" s="32"/>
      <c r="K34" s="36"/>
      <c r="L34" s="36"/>
      <c r="M34" s="32"/>
      <c r="N34" s="32"/>
      <c r="O34" s="32"/>
      <c r="P34" s="32"/>
      <c r="Q34" s="32"/>
      <c r="R34" s="32"/>
      <c r="S34" s="32"/>
      <c r="T34" s="32"/>
      <c r="U34" s="32"/>
      <c r="V34" s="31"/>
      <c r="W34" s="32"/>
      <c r="X34" s="32"/>
      <c r="Y34" s="41"/>
      <c r="Z34" s="32"/>
      <c r="AA34" s="32"/>
      <c r="AB34" s="32"/>
      <c r="AC34" s="32"/>
      <c r="AD34" s="32"/>
      <c r="AE34" s="32"/>
      <c r="AF34" s="45"/>
      <c r="AG34" s="28"/>
      <c r="AH34" s="4"/>
      <c r="AI34" s="28"/>
      <c r="AJ34" s="51"/>
      <c r="AK34" s="28"/>
      <c r="AL34" s="28"/>
      <c r="AM34" s="28"/>
      <c r="AN34" s="28"/>
      <c r="AO34" s="28"/>
      <c r="AP34" s="28"/>
      <c r="AQ34" s="28"/>
      <c r="AR34" s="51"/>
      <c r="AS34" s="28"/>
      <c r="AT34" s="28"/>
      <c r="AU34" s="4"/>
      <c r="AV34" s="18">
        <f>24*60*60</f>
        <v>86400</v>
      </c>
      <c r="AW34" s="18">
        <f>2*24*60*60</f>
        <v>172800</v>
      </c>
      <c r="AX34" s="18">
        <f>30*24*60*60</f>
        <v>2592000</v>
      </c>
      <c r="AY34" s="18">
        <f>90*24*60*60</f>
        <v>7776000</v>
      </c>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1"/>
      <c r="CS34" s="1"/>
      <c r="CT34" s="1"/>
      <c r="CU34" s="1"/>
    </row>
    <row r="35" spans="1:99" s="9" customFormat="1" ht="12" customHeight="1" x14ac:dyDescent="0.2">
      <c r="A35" s="37">
        <v>43509</v>
      </c>
      <c r="B35" s="1" t="s">
        <v>66</v>
      </c>
      <c r="C35" s="1" t="s">
        <v>67</v>
      </c>
      <c r="D35" s="32">
        <v>2006</v>
      </c>
      <c r="E35" s="41">
        <v>1</v>
      </c>
      <c r="F35" s="32">
        <v>22</v>
      </c>
      <c r="G35" s="32">
        <v>22</v>
      </c>
      <c r="H35" s="32" t="s">
        <v>154</v>
      </c>
      <c r="I35" s="32" t="s">
        <v>153</v>
      </c>
      <c r="J35" s="32" t="s">
        <v>82</v>
      </c>
      <c r="K35" s="32">
        <f>IF(J35="syllables",1,IF(J35="trigrams",2,IF(J35="strings",3,IF(J35="visual array",4,IF(J35="characters",5,IF(J35="letters",6,IF(J35="free forms",7,IF(J35="odors",8,IF(J35="words",9,IF(J35="pictures",10,IF(J35="object pictures",11,IF(J35="faces",12,IF(J35="names",13,IF(J35="idioms",14,IF(J35="grades",15,IF(J35="syllable-digit pairs",16,IF(J35="trigram-word pairs",17,IF(J35="word-digit pairs",18,IF(J35="English-Swahili pairs",19,IF(J35="spatial position",20,IF(J35="word pairs",21,IF(J35="word triads",22,IF(J35="generated words",23,IF(J35="word definition pairs",24,IF(J35="math problems",25,IF(J35="famous faces",26,IF(J35="famous names",27,IF(J35="famous voices",28,IF(J35="television programs",29,IF(J35="race horses",30,IF(J35="new vocabulary",31,IF(J35="sentences",32,IF(J35="concepts",33,IF(J35="ad slides",34,IF(J35="scenes",35,IF(J35="famous scenes",36,IF(J35="poems",37,IF(J35="walk",38,IF(J35="faces and events",39,IF(J35="events and names",40,IF(J35="flashbulb",41,IF(J35="stories",42,IF(J35="course material",43,IF(J35="autobiographical",44,IF(J35="novels",45,IF(J35="public events",46,"99"))))))))))))))))))))))))))))))))))))))))))))))</f>
        <v>10</v>
      </c>
      <c r="L35" s="32">
        <f>IF(J35="syllables",1,IF(J35="trigrams",1,IF(J35="strings",1,IF(J35="visual array",1,IF(J35="characters",1,IF(J35="letters",1,IF(J35="free forms",1,IF(J35="odors",2,IF(J35="words",2,IF(J35="pictures",2,IF(J35="object pictures",2,IF(J35="faces",2,IF(J35="names",2,IF(J35="idioms","2",IF(J35="grades",2,IF(J35="syllable-digit pairs",3,IF(J35="trigram-word pairs",3,IF(J35="word-digit pairs",3,IF(J35="English-Swahili pairs",3,IF(J35="spatial position",3,IF(J35="word pairs",4,IF(J35="word triads",4,IF(J35="generated words",4,IF(J35="word definition pairs",4,IF(J35="math problems",4,IF(J35="famous faces",4,IF(J35="famous names",4,IF(J35="famous voices",4,IF(J35="television programs",4,IF(J35="race horses",4,IF(J35="new vocabulary",4,IF(J35="sentences",5,IF(J35="concepts",5,IF(J35="ad slides",5,IF(J35="scenes",5,IF(J35="famous scenes",5,IF(J35="poems",6,IF(J35="walk",6,IF(J35="faces and events",6,IF(J35="events and names",6,IF(J35="flashbulb",7,IF(J35="stories",7,IF(J35="course material",7,IF(J35="autobiographical",7,IF(J35="novels",7,IF(J35="public events",7,"99"))))))))))))))))))))))))))))))))))))))))))))))</f>
        <v>2</v>
      </c>
      <c r="M35" s="32">
        <v>0</v>
      </c>
      <c r="N35" s="32">
        <v>1</v>
      </c>
      <c r="O35" s="32">
        <v>0</v>
      </c>
      <c r="P35" s="32"/>
      <c r="Q35" s="32" t="s">
        <v>18</v>
      </c>
      <c r="R35" s="32">
        <f>IF(Q35="Free Recall",1,IF(Q35="Cued Recall",2,IF(Q35="Recognition",3,IF(Q35="Multiple Choice",4,IF(Q35="Savings",5,IF(Q35="Stem Completion",6,IF(Q35="Fragment Completion",7,IF(Q35="anagram solution",8,IF(Q35="Matching",9,IF(Q35="Problem Solving",10,"99"))))))))))</f>
        <v>3</v>
      </c>
      <c r="S35" s="31" t="s">
        <v>196</v>
      </c>
      <c r="T35" s="31" t="s">
        <v>132</v>
      </c>
      <c r="U35" s="32">
        <f>IF(T35="within",1,0)</f>
        <v>1</v>
      </c>
      <c r="V35" s="31">
        <v>480</v>
      </c>
      <c r="W35" s="32">
        <f>F35*V35</f>
        <v>10560</v>
      </c>
      <c r="X35" s="32">
        <v>4</v>
      </c>
      <c r="Y35" s="41">
        <f>AV34</f>
        <v>86400</v>
      </c>
      <c r="Z35" s="32" t="s">
        <v>63</v>
      </c>
      <c r="AA35" s="32">
        <f>30*24*60*60*3</f>
        <v>7776000</v>
      </c>
      <c r="AB35" s="32" t="str">
        <f>IF(AA35&lt;60,"1",IF(AA35&lt;=43200,"2",IF(AA35&lt;=777600,"3","4")))</f>
        <v>4</v>
      </c>
      <c r="AC35" s="28">
        <f>AVERAGE(AV34:DA34)</f>
        <v>2656800</v>
      </c>
      <c r="AD35" s="32" t="str">
        <f>IF(AC35&lt;60,"1",IF(AC35&lt;=43200,"2",IF(AC35&lt;=777600,"3","4")))</f>
        <v>4</v>
      </c>
      <c r="AE35" s="41">
        <f>AA35-Y35</f>
        <v>7689600</v>
      </c>
      <c r="AF35" s="45">
        <f>AV35</f>
        <v>1.9</v>
      </c>
      <c r="AG35" s="28">
        <f>((AW35-AV35)+(AX35-AW35)+(AY35-AX35))/3</f>
        <v>-3.3333333333333291E-2</v>
      </c>
      <c r="AH35" s="4"/>
      <c r="AI35" s="28">
        <f>RSQ(AV35:AY35,AV34:AY34)</f>
        <v>0.53002815479480025</v>
      </c>
      <c r="AJ35" s="51">
        <f>SLOPE(AV35:AY35,AV34:AY34)</f>
        <v>-1.9335368588635533E-8</v>
      </c>
      <c r="AK35" s="28">
        <f>INTERCEPT(AV35:AY35,AV34:AY34)</f>
        <v>1.9263702072662869</v>
      </c>
      <c r="AL35" s="28">
        <f>INDEX(LINEST(LN(AV35:AY35),LN(AV34:AY34),TRUE,TRUE),3,1)</f>
        <v>0.68464955365160052</v>
      </c>
      <c r="AM35" s="28">
        <f>INDEX(LINEST(LN(AV35:AY35),LN(AV34:AY34)),1)</f>
        <v>-1.9484243959720874E-2</v>
      </c>
      <c r="AN35" s="28">
        <f>EXP(INDEX(LINEST(LN(AV35:AY35),LN(AV34:AY34)),1,2))</f>
        <v>2.4375139362669764</v>
      </c>
      <c r="AO35" s="47">
        <f>INDEX(LINEST((AV35:AY35),LN(AV34:AY34),TRUE,TRUE),3,1)</f>
        <v>0.67292470692885598</v>
      </c>
      <c r="AP35" s="47">
        <f>INDEX(LINEST((AV35:AY35),LN(AV34:AY34)),1)</f>
        <v>-3.6576900921308934E-2</v>
      </c>
      <c r="AQ35" s="48">
        <f>INDEX(LINEST(LN(AV35:AY35),SQRT(AV34:AY34),TRUE,TRUE),3,1)</f>
        <v>0.65791670744173925</v>
      </c>
      <c r="AR35" s="56">
        <f>INDEX(LINEST(LN(AV35:AY35),SQRT((AV34:AY34))),1)</f>
        <v>-3.5065401488334146E-5</v>
      </c>
      <c r="AS35" s="49">
        <f>INDEX(LINEST(1/(AV35:AY35),1/(SQRT(AV34:AY34)),TRUE,TRUE),3,1)</f>
        <v>0.58419351846196421</v>
      </c>
      <c r="AT35" s="49">
        <f>INDEX(LINEST(1/(AV35:AY35),1/SQRT(AV34:AY34)),1)</f>
        <v>-14.034784610071288</v>
      </c>
      <c r="AU35" s="3"/>
      <c r="AV35" s="25">
        <v>1.9</v>
      </c>
      <c r="AW35" s="25">
        <v>2</v>
      </c>
      <c r="AX35" s="25">
        <v>1.8</v>
      </c>
      <c r="AY35" s="25">
        <v>1.8</v>
      </c>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1"/>
      <c r="CS35" s="1"/>
      <c r="CT35" s="1"/>
      <c r="CU35" s="1"/>
    </row>
    <row r="36" spans="1:99" s="9" customFormat="1" ht="12" customHeight="1" x14ac:dyDescent="0.2">
      <c r="A36" s="37">
        <v>43900</v>
      </c>
      <c r="B36" s="1"/>
      <c r="C36" s="1"/>
      <c r="D36" s="32"/>
      <c r="E36" s="41"/>
      <c r="F36" s="32"/>
      <c r="G36" s="32"/>
      <c r="H36" s="32"/>
      <c r="I36" s="32"/>
      <c r="J36" s="32"/>
      <c r="K36" s="36"/>
      <c r="L36" s="36"/>
      <c r="M36" s="32"/>
      <c r="N36" s="32"/>
      <c r="O36" s="32"/>
      <c r="P36" s="32"/>
      <c r="Q36" s="32"/>
      <c r="R36" s="32"/>
      <c r="S36" s="32"/>
      <c r="T36" s="32"/>
      <c r="U36" s="32"/>
      <c r="V36" s="32"/>
      <c r="W36" s="32"/>
      <c r="X36" s="32"/>
      <c r="Y36" s="41"/>
      <c r="Z36" s="32"/>
      <c r="AA36" s="32"/>
      <c r="AB36" s="32"/>
      <c r="AC36" s="28"/>
      <c r="AD36" s="32"/>
      <c r="AE36" s="32"/>
      <c r="AF36" s="45"/>
      <c r="AG36" s="28"/>
      <c r="AH36" s="4"/>
      <c r="AI36" s="28"/>
      <c r="AJ36" s="51"/>
      <c r="AK36" s="28"/>
      <c r="AL36" s="28"/>
      <c r="AM36" s="28"/>
      <c r="AN36" s="28"/>
      <c r="AO36" s="47"/>
      <c r="AP36" s="47"/>
      <c r="AQ36" s="48"/>
      <c r="AR36" s="56"/>
      <c r="AS36" s="49"/>
      <c r="AT36" s="49"/>
      <c r="AU36" s="3"/>
      <c r="AV36" s="18">
        <v>900</v>
      </c>
      <c r="AW36" s="18">
        <v>86400</v>
      </c>
      <c r="AX36" s="18">
        <v>604800</v>
      </c>
      <c r="AY36" s="18">
        <v>2592000</v>
      </c>
      <c r="AZ36" s="25">
        <v>7862400</v>
      </c>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1"/>
      <c r="CS36" s="1"/>
      <c r="CT36" s="1"/>
      <c r="CU36" s="1"/>
    </row>
    <row r="37" spans="1:99" s="9" customFormat="1" ht="12" customHeight="1" x14ac:dyDescent="0.2">
      <c r="A37" s="37">
        <v>43900</v>
      </c>
      <c r="B37" s="1" t="s">
        <v>101</v>
      </c>
      <c r="C37" s="1" t="s">
        <v>102</v>
      </c>
      <c r="D37" s="32">
        <v>2012</v>
      </c>
      <c r="E37" s="41">
        <v>1</v>
      </c>
      <c r="F37" s="32">
        <v>58</v>
      </c>
      <c r="G37" s="32">
        <v>58</v>
      </c>
      <c r="H37" s="32" t="s">
        <v>104</v>
      </c>
      <c r="I37" s="32" t="s">
        <v>103</v>
      </c>
      <c r="J37" s="32" t="s">
        <v>82</v>
      </c>
      <c r="K37" s="32">
        <f>IF(J37="syllables",1,IF(J37="trigrams",2,IF(J37="strings",3,IF(J37="visual array",4,IF(J37="characters",5,IF(J37="letters",6,IF(J37="free forms",7,IF(J37="odors",8,IF(J37="words",9,IF(J37="pictures",10,IF(J37="object pictures",11,IF(J37="faces",12,IF(J37="names",13,IF(J37="idioms",14,IF(J37="grades",15,IF(J37="syllable-digit pairs",16,IF(J37="trigram-word pairs",17,IF(J37="word-digit pairs",18,IF(J37="English-Swahili pairs",19,IF(J37="spatial position",20,IF(J37="word pairs",21,IF(J37="word triads",22,IF(J37="generated words",23,IF(J37="word definition pairs",24,IF(J37="math problems",25,IF(J37="famous faces",26,IF(J37="famous names",27,IF(J37="famous voices",28,IF(J37="television programs",29,IF(J37="race horses",30,IF(J37="new vocabulary",31,IF(J37="sentences",32,IF(J37="concepts",33,IF(J37="ad slides",34,IF(J37="scenes",35,IF(J37="famous scenes",36,IF(J37="poems",37,IF(J37="walk",38,IF(J37="faces and events",39,IF(J37="events and names",40,IF(J37="flashbulb",41,IF(J37="stories",42,IF(J37="course material",43,IF(J37="autobiographical",44,IF(J37="novels",45,IF(J37="public events",46,"99"))))))))))))))))))))))))))))))))))))))))))))))</f>
        <v>10</v>
      </c>
      <c r="L37" s="32">
        <f>IF(J37="syllables",1,IF(J37="trigrams",1,IF(J37="strings",1,IF(J37="visual array",1,IF(J37="characters",1,IF(J37="letters",1,IF(J37="free forms",1,IF(J37="odors",2,IF(J37="words",2,IF(J37="pictures",2,IF(J37="object pictures",2,IF(J37="faces",2,IF(J37="names",2,IF(J37="idioms","2",IF(J37="grades",2,IF(J37="syllable-digit pairs",3,IF(J37="trigram-word pairs",3,IF(J37="word-digit pairs",3,IF(J37="English-Swahili pairs",3,IF(J37="spatial position",3,IF(J37="word pairs",4,IF(J37="word triads",4,IF(J37="generated words",4,IF(J37="word definition pairs",4,IF(J37="math problems",4,IF(J37="famous faces",4,IF(J37="famous names",4,IF(J37="famous voices",4,IF(J37="television programs",4,IF(J37="race horses",4,IF(J37="new vocabulary",4,IF(J37="sentences",5,IF(J37="concepts",5,IF(J37="ad slides",5,IF(J37="scenes",5,IF(J37="famous scenes",5,IF(J37="poems",6,IF(J37="walk",6,IF(J37="faces and events",6,IF(J37="events and names",6,IF(J37="flashbulb",7,IF(J37="stories",7,IF(J37="course material",7,IF(J37="autobiographical",7,IF(J37="novels",7,IF(J37="public events",7,"99"))))))))))))))))))))))))))))))))))))))))))))))</f>
        <v>2</v>
      </c>
      <c r="M37" s="32">
        <v>0</v>
      </c>
      <c r="N37" s="32">
        <v>1</v>
      </c>
      <c r="O37" s="32">
        <v>1</v>
      </c>
      <c r="P37" s="32" t="s">
        <v>32</v>
      </c>
      <c r="Q37" s="32" t="s">
        <v>18</v>
      </c>
      <c r="R37" s="32">
        <f>IF(Q37="Free Recall",1,IF(Q37="Cued Recall",2,IF(Q37="Recognition",3,IF(Q37="Multiple Choice",4,IF(Q37="Savings",5,IF(Q37="Stem Completion",6,IF(Q37="Fragment Completion",7,IF(Q37="anagram solution",8,IF(Q37="Matching",9,IF(Q37="Problem Solving",10,"99"))))))))))</f>
        <v>3</v>
      </c>
      <c r="S37" s="77" t="s">
        <v>196</v>
      </c>
      <c r="T37" s="31" t="s">
        <v>132</v>
      </c>
      <c r="U37" s="32">
        <f>IF(T37="within",1,0)</f>
        <v>1</v>
      </c>
      <c r="V37" s="31">
        <v>50</v>
      </c>
      <c r="W37" s="32">
        <f>F37*V37</f>
        <v>2900</v>
      </c>
      <c r="X37" s="32">
        <v>5</v>
      </c>
      <c r="Y37" s="41">
        <f>AV36</f>
        <v>900</v>
      </c>
      <c r="Z37" s="32" t="s">
        <v>105</v>
      </c>
      <c r="AA37" s="32">
        <f>60*60*24*91</f>
        <v>7862400</v>
      </c>
      <c r="AB37" s="32" t="str">
        <f>IF(AA37&lt;60,"1",IF(AA37&lt;=43200,"2",IF(AA37&lt;=777600,"3","4")))</f>
        <v>4</v>
      </c>
      <c r="AC37" s="28">
        <f>AVERAGE(AV36:DA36)</f>
        <v>2229300</v>
      </c>
      <c r="AD37" s="32" t="str">
        <f>IF(AC37&lt;60,"1",IF(AC37&lt;=43200,"2",IF(AC37&lt;=777600,"3","4")))</f>
        <v>4</v>
      </c>
      <c r="AE37" s="41">
        <f>AA37-Y37</f>
        <v>7861500</v>
      </c>
      <c r="AF37" s="45">
        <f>AV37</f>
        <v>3.1264322293123898</v>
      </c>
      <c r="AG37" s="28">
        <f>((AW37-AV37)+(AX37-AW37)+(AY37-AX37)+(AZ37-AY37))/4</f>
        <v>-0.47659187133766995</v>
      </c>
      <c r="AH37" s="4"/>
      <c r="AI37" s="28">
        <f>RSQ(AV37:AZ37,AV36:AZ36)</f>
        <v>0.65187481971897132</v>
      </c>
      <c r="AJ37" s="51">
        <f>SLOPE(AV37:AZ37,AV36:AZ36)</f>
        <v>-2.0659010099627149E-7</v>
      </c>
      <c r="AK37" s="28">
        <f>INTERCEPT(AV37:AZ37,AV36:AZ36)</f>
        <v>2.5980836185007257</v>
      </c>
      <c r="AL37" s="28">
        <f>INDEX(LINEST(LN(AV37:AZ37),LN(AV36:AZ36),TRUE,TRUE),3,1)</f>
        <v>0.81502492496976853</v>
      </c>
      <c r="AM37" s="28">
        <f>INDEX(LINEST(LN(AV37:AZ37),LN(AV36:AZ36)),1)</f>
        <v>-0.10598219026252227</v>
      </c>
      <c r="AN37" s="28">
        <f>EXP(INDEX(LINEST(LN(AV37:AZ37),LN(AV36:AZ36)),1,2))</f>
        <v>7.4530701599119142</v>
      </c>
      <c r="AO37" s="47">
        <f>INDEX(LINEST((AV37:AZ37),LN(AV36:AZ36),TRUE,TRUE),3,1)</f>
        <v>0.86354364162581954</v>
      </c>
      <c r="AP37" s="47">
        <f>INDEX(LINEST((AV37:AZ37),LN(AV36:AZ36)),1)</f>
        <v>-0.22115661271043477</v>
      </c>
      <c r="AQ37" s="48">
        <f>INDEX(LINEST(LN(AV37:AZ37),SQRT(AV36:AZ36),TRUE,TRUE),3,1)</f>
        <v>0.91687995650452692</v>
      </c>
      <c r="AR37" s="56">
        <f>INDEX(LINEST(LN(AV37:AZ37),SQRT((AV36:AZ36))),1)</f>
        <v>-3.5655703989402631E-4</v>
      </c>
      <c r="AS37" s="49">
        <f>INDEX(LINEST(1/(AV37:AZ37),1/(SQRT(AV36:AZ36)),TRUE,TRUE),3,1)</f>
        <v>0.36860891697760145</v>
      </c>
      <c r="AT37" s="49">
        <f>INDEX(LINEST(1/(AV37:AZ37),1/SQRT(AV36:AZ36)),1)</f>
        <v>-9.423014272544135</v>
      </c>
      <c r="AU37" s="3"/>
      <c r="AV37" s="25">
        <v>3.1264322293123898</v>
      </c>
      <c r="AW37" s="25">
        <v>2.8527640656528299</v>
      </c>
      <c r="AX37" s="25">
        <v>2.0935243364694398</v>
      </c>
      <c r="AY37" s="25">
        <v>1.39487615635232</v>
      </c>
      <c r="AZ37" s="25">
        <v>1.2200647439617101</v>
      </c>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1"/>
      <c r="CS37" s="1"/>
      <c r="CT37" s="1"/>
      <c r="CU37" s="1"/>
    </row>
    <row r="38" spans="1:99" s="9" customFormat="1" ht="12" customHeight="1" x14ac:dyDescent="0.2">
      <c r="A38" s="37">
        <v>43509</v>
      </c>
      <c r="B38" s="1"/>
      <c r="C38" s="1"/>
      <c r="D38" s="32"/>
      <c r="E38" s="41"/>
      <c r="F38" s="32"/>
      <c r="G38" s="32"/>
      <c r="H38" s="32"/>
      <c r="I38" s="32"/>
      <c r="J38" s="32"/>
      <c r="K38" s="36"/>
      <c r="L38" s="36"/>
      <c r="M38" s="32"/>
      <c r="N38" s="32"/>
      <c r="O38" s="32"/>
      <c r="P38" s="32"/>
      <c r="Q38" s="32"/>
      <c r="R38" s="32"/>
      <c r="S38" s="32"/>
      <c r="T38" s="32"/>
      <c r="U38" s="32"/>
      <c r="V38" s="32"/>
      <c r="W38" s="32"/>
      <c r="X38" s="32"/>
      <c r="Y38" s="41"/>
      <c r="Z38" s="32"/>
      <c r="AA38" s="32"/>
      <c r="AB38" s="32"/>
      <c r="AC38" s="32"/>
      <c r="AD38" s="32"/>
      <c r="AE38" s="32"/>
      <c r="AF38" s="45"/>
      <c r="AG38" s="28"/>
      <c r="AH38" s="4"/>
      <c r="AI38" s="28"/>
      <c r="AJ38" s="51"/>
      <c r="AK38" s="28"/>
      <c r="AL38" s="28"/>
      <c r="AM38" s="28"/>
      <c r="AN38" s="28"/>
      <c r="AO38" s="28"/>
      <c r="AP38" s="28"/>
      <c r="AQ38" s="47"/>
      <c r="AR38" s="55"/>
      <c r="AS38" s="47"/>
      <c r="AT38" s="47"/>
      <c r="AU38" s="4"/>
      <c r="AV38" s="18">
        <v>473</v>
      </c>
      <c r="AW38" s="18">
        <f>7*24*3600*1</f>
        <v>604800</v>
      </c>
      <c r="AX38" s="18">
        <f>7*24*3600*2</f>
        <v>1209600</v>
      </c>
      <c r="AY38" s="25" t="s">
        <v>113</v>
      </c>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1"/>
      <c r="CS38" s="1"/>
      <c r="CT38" s="1"/>
      <c r="CU38" s="1"/>
    </row>
    <row r="39" spans="1:99" s="9" customFormat="1" ht="12" customHeight="1" x14ac:dyDescent="0.2">
      <c r="A39" s="37">
        <v>43509</v>
      </c>
      <c r="B39" s="1" t="s">
        <v>57</v>
      </c>
      <c r="C39" s="1" t="s">
        <v>58</v>
      </c>
      <c r="D39" s="32">
        <v>2007</v>
      </c>
      <c r="E39" s="41">
        <v>1</v>
      </c>
      <c r="F39" s="32">
        <v>29</v>
      </c>
      <c r="G39" s="32">
        <v>29</v>
      </c>
      <c r="H39" s="32" t="s">
        <v>14</v>
      </c>
      <c r="I39" s="32"/>
      <c r="J39" s="32" t="s">
        <v>157</v>
      </c>
      <c r="K39" s="32">
        <f>IF(J39="syllables",1,IF(J39="trigrams",2,IF(J39="strings",3,IF(J39="visual array",4,IF(J39="characters",5,IF(J39="letters",6,IF(J39="free forms",7,IF(J39="odors",8,IF(J39="words",9,IF(J39="pictures",10,IF(J39="object pictures",11,IF(J39="faces",12,IF(J39="names",13,IF(J39="idioms",14,IF(J39="grades",15,IF(J39="syllable-digit pairs",16,IF(J39="trigram-word pairs",17,IF(J39="word-digit pairs",18,IF(J39="English-Swahili pairs",19,IF(J39="spatial position",20,IF(J39="word pairs",21,IF(J39="word triads",22,IF(J39="generated words",23,IF(J39="word definition pairs",24,IF(J39="math problems",25,IF(J39="famous faces",26,IF(J39="famous names",27,IF(J39="famous voices",28,IF(J39="television programs",29,IF(J39="race horses",30,IF(J39="new vocabulary",31,IF(J39="sentences",32,IF(J39="concepts",33,IF(J39="ad slides",34,IF(J39="scenes",35,IF(J39="famous scenes",36,IF(J39="poems",37,IF(J39="walk",38,IF(J39="faces and events",39,IF(J39="events and names",40,IF(J39="flashbulb",41,IF(J39="stories",42,IF(J39="course material",43,IF(J39="autobiographical",44,IF(J39="novels",45,IF(J39="public events",46,"99"))))))))))))))))))))))))))))))))))))))))))))))</f>
        <v>3</v>
      </c>
      <c r="L39" s="32">
        <f>IF(J39="syllables",1,IF(J39="trigrams",1,IF(J39="strings",1,IF(J39="visual array",1,IF(J39="characters",1,IF(J39="letters",1,IF(J39="free forms",1,IF(J39="odors",2,IF(J39="words",2,IF(J39="pictures",2,IF(J39="object pictures",2,IF(J39="faces",2,IF(J39="names",2,IF(J39="idioms","2",IF(J39="grades",2,IF(J39="syllable-digit pairs",3,IF(J39="trigram-word pairs",3,IF(J39="word-digit pairs",3,IF(J39="English-Swahili pairs",3,IF(J39="spatial position",3,IF(J39="word pairs",4,IF(J39="word triads",4,IF(J39="generated words",4,IF(J39="word definition pairs",4,IF(J39="math problems",4,IF(J39="famous faces",4,IF(J39="famous names",4,IF(J39="famous voices",4,IF(J39="television programs",4,IF(J39="race horses",4,IF(J39="new vocabulary",4,IF(J39="sentences",5,IF(J39="concepts",5,IF(J39="ad slides",5,IF(J39="scenes",5,IF(J39="famous scenes",5,IF(J39="poems",6,IF(J39="walk",6,IF(J39="faces and events",6,IF(J39="events and names",6,IF(J39="flashbulb",7,IF(J39="stories",7,IF(J39="course material",7,IF(J39="autobiographical",7,IF(J39="novels",7,IF(J39="public events",7,"99"))))))))))))))))))))))))))))))))))))))))))))))</f>
        <v>1</v>
      </c>
      <c r="M39" s="32">
        <v>1</v>
      </c>
      <c r="N39" s="32">
        <v>3</v>
      </c>
      <c r="O39" s="32">
        <v>0</v>
      </c>
      <c r="P39" s="32"/>
      <c r="Q39" s="32" t="s">
        <v>18</v>
      </c>
      <c r="R39" s="32">
        <f>IF(Q39="Free Recall",1,IF(Q39="Cued Recall",2,IF(Q39="Recognition",3,IF(Q39="Multiple Choice",4,IF(Q39="Savings",5,IF(Q39="Stem Completion",6,IF(Q39="Fragment Completion",7,IF(Q39="anagram solution",8,IF(Q39="Matching",9,IF(Q39="Problem Solving",10,"99"))))))))))</f>
        <v>3</v>
      </c>
      <c r="S39" s="32" t="s">
        <v>196</v>
      </c>
      <c r="T39" s="31" t="s">
        <v>132</v>
      </c>
      <c r="U39" s="32">
        <f>IF(T39="within",1,0)</f>
        <v>1</v>
      </c>
      <c r="V39" s="31">
        <v>63</v>
      </c>
      <c r="W39" s="32">
        <f>F39*V39</f>
        <v>1827</v>
      </c>
      <c r="X39" s="32">
        <v>3</v>
      </c>
      <c r="Y39" s="41">
        <f>AV38</f>
        <v>473</v>
      </c>
      <c r="Z39" s="32" t="s">
        <v>59</v>
      </c>
      <c r="AA39" s="32">
        <v>1209600</v>
      </c>
      <c r="AB39" s="32" t="str">
        <f>IF(AA39&lt;60,"1",IF(AA39&lt;=43200,"2",IF(AA39&lt;=777600,"3","4")))</f>
        <v>4</v>
      </c>
      <c r="AC39" s="28">
        <f>AVERAGE(AV38:DA38)</f>
        <v>604957.66666666663</v>
      </c>
      <c r="AD39" s="32" t="str">
        <f>IF(AC39&lt;60,"1",IF(AC39&lt;=43200,"2",IF(AC39&lt;=777600,"3","4")))</f>
        <v>3</v>
      </c>
      <c r="AE39" s="41">
        <f>AA39-Y39</f>
        <v>1209127</v>
      </c>
      <c r="AF39" s="45">
        <f>AV39</f>
        <v>0.64</v>
      </c>
      <c r="AG39" s="28">
        <f>((AW39-AV39)+(AX39-AW39))/2</f>
        <v>-0.11500000000000002</v>
      </c>
      <c r="AH39" s="4"/>
      <c r="AI39" s="28">
        <f>RSQ(AV39:AX39,AV38:AX38)</f>
        <v>0.92904097331137769</v>
      </c>
      <c r="AJ39" s="51">
        <f>SLOPE(AV39:AX39,AV38:AX38)</f>
        <v>-1.9020801337349981E-7</v>
      </c>
      <c r="AK39" s="28">
        <f>INTERCEPT(AV39:AX39,AV38:AX38)</f>
        <v>0.62173446261840115</v>
      </c>
      <c r="AL39" s="28">
        <f>INDEX(LINEST(LN(AV39:AX39),LN(AV38:AX38),TRUE,TRUE),3,1)</f>
        <v>0.95060329336212435</v>
      </c>
      <c r="AM39" s="28">
        <f>INDEX(LINEST(LN(AV39:AX39),LN(AV38:AX38)),1)</f>
        <v>-5.1203070795816458E-2</v>
      </c>
      <c r="AN39" s="28">
        <f>EXP(INDEX(LINEST(LN(AV39:AX39),LN(AV38:AX38)),1,2))</f>
        <v>0.88139314673581204</v>
      </c>
      <c r="AO39" s="47">
        <f>INDEX(LINEST((AV39:AX39),LN(AV38:AX38),TRUE,TRUE),3,1)</f>
        <v>0.96991849224265103</v>
      </c>
      <c r="AP39" s="47">
        <f>INDEX(LINEST((AV39:AX39),LN(AV38:AX38)),1)</f>
        <v>-2.7047437235873616E-2</v>
      </c>
      <c r="AQ39" s="48">
        <f>INDEX(LINEST(LN(AV39:AX39),SQRT(AV38:AX38),TRUE,TRUE),3,1)</f>
        <v>0.99992488954526015</v>
      </c>
      <c r="AR39" s="56">
        <f>INDEX(LINEST(LN(AV39:AX39),SQRT((AV38:AX38))),1)</f>
        <v>-4.1223327940972558E-4</v>
      </c>
      <c r="AS39" s="49">
        <f>INDEX(LINEST(1/(AV39:AX39),1/(SQRT(AV38:AX38)),TRUE,TRUE),3,1)</f>
        <v>0.88197387896279078</v>
      </c>
      <c r="AT39" s="49">
        <f>INDEX(LINEST(1/(AV39:AX39),1/SQRT(AV38:AX38)),1)</f>
        <v>-16.103456879274351</v>
      </c>
      <c r="AU39" s="3"/>
      <c r="AV39" s="25">
        <v>0.64</v>
      </c>
      <c r="AW39" s="25">
        <v>0.47</v>
      </c>
      <c r="AX39" s="25">
        <v>0.41</v>
      </c>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1"/>
      <c r="CS39" s="1"/>
      <c r="CT39" s="1"/>
      <c r="CU39" s="1"/>
    </row>
    <row r="40" spans="1:99" s="60" customFormat="1" ht="12" customHeight="1" x14ac:dyDescent="0.2">
      <c r="A40" s="94">
        <v>43509</v>
      </c>
      <c r="B40" s="101"/>
      <c r="C40" s="101"/>
      <c r="D40" s="77"/>
      <c r="E40" s="98"/>
      <c r="F40" s="77"/>
      <c r="G40" s="77"/>
      <c r="H40" s="77"/>
      <c r="I40" s="77"/>
      <c r="J40" s="77"/>
      <c r="K40" s="102"/>
      <c r="L40" s="102"/>
      <c r="M40" s="77"/>
      <c r="N40" s="77"/>
      <c r="O40" s="77"/>
      <c r="P40" s="77"/>
      <c r="Q40" s="77"/>
      <c r="R40" s="77"/>
      <c r="S40" s="77"/>
      <c r="T40" s="96"/>
      <c r="U40" s="32"/>
      <c r="V40" s="77"/>
      <c r="W40" s="77"/>
      <c r="X40" s="77"/>
      <c r="Y40" s="98"/>
      <c r="Z40" s="77"/>
      <c r="AA40" s="77"/>
      <c r="AB40" s="77"/>
      <c r="AC40" s="77"/>
      <c r="AD40" s="77"/>
      <c r="AE40" s="77"/>
      <c r="AF40" s="99"/>
      <c r="AG40" s="100"/>
      <c r="AH40" s="84"/>
      <c r="AI40" s="100"/>
      <c r="AJ40" s="105"/>
      <c r="AK40" s="100"/>
      <c r="AL40" s="100"/>
      <c r="AM40" s="100"/>
      <c r="AN40" s="100"/>
      <c r="AO40" s="100"/>
      <c r="AP40" s="100"/>
      <c r="AQ40" s="100"/>
      <c r="AR40" s="105"/>
      <c r="AS40" s="100"/>
      <c r="AT40" s="100"/>
      <c r="AU40" s="62"/>
      <c r="AV40" s="64">
        <f>10*7*24*60*60</f>
        <v>6048000</v>
      </c>
      <c r="AW40" s="64">
        <f>16*7*24*60*60</f>
        <v>9676800</v>
      </c>
      <c r="AX40" s="64">
        <f>31*7*24*60*60</f>
        <v>18748800</v>
      </c>
      <c r="AY40" s="64">
        <f>58*7*24*60*60</f>
        <v>35078400</v>
      </c>
      <c r="AZ40" s="64">
        <f>110*7*24*60*60</f>
        <v>66528000</v>
      </c>
      <c r="BA40" s="65"/>
      <c r="BB40" s="65"/>
      <c r="BC40" s="65"/>
      <c r="BD40" s="65"/>
      <c r="BE40" s="65"/>
      <c r="BF40" s="65"/>
      <c r="BG40" s="65"/>
      <c r="BH40" s="65"/>
      <c r="BI40" s="65"/>
      <c r="BJ40" s="65"/>
      <c r="BK40" s="65"/>
      <c r="BL40" s="61"/>
      <c r="BM40" s="61"/>
      <c r="BN40" s="61"/>
      <c r="BO40" s="61"/>
      <c r="BP40" s="61"/>
      <c r="BQ40" s="61"/>
      <c r="BR40" s="61"/>
      <c r="BS40" s="61"/>
      <c r="BT40" s="61"/>
      <c r="BU40" s="61"/>
      <c r="BV40" s="61"/>
      <c r="BW40" s="61"/>
      <c r="BX40" s="61"/>
      <c r="BY40" s="61"/>
      <c r="BZ40" s="61"/>
      <c r="CA40" s="61"/>
      <c r="CB40" s="61"/>
      <c r="CC40" s="61"/>
      <c r="CD40" s="61"/>
      <c r="CE40" s="61"/>
      <c r="CF40" s="61"/>
      <c r="CG40" s="61"/>
      <c r="CH40" s="61"/>
      <c r="CI40" s="61"/>
      <c r="CJ40" s="61"/>
      <c r="CK40" s="61"/>
      <c r="CL40" s="61"/>
      <c r="CM40" s="61"/>
      <c r="CN40" s="61"/>
      <c r="CO40" s="61"/>
      <c r="CP40" s="61"/>
      <c r="CQ40" s="61"/>
      <c r="CR40" s="59"/>
      <c r="CS40" s="59"/>
      <c r="CT40" s="59"/>
      <c r="CU40" s="59"/>
    </row>
    <row r="41" spans="1:99" s="60" customFormat="1" ht="12" customHeight="1" x14ac:dyDescent="0.2">
      <c r="A41" s="94">
        <v>43509</v>
      </c>
      <c r="B41" s="101" t="s">
        <v>225</v>
      </c>
      <c r="C41" s="101" t="s">
        <v>204</v>
      </c>
      <c r="D41" s="77">
        <v>1972</v>
      </c>
      <c r="E41" s="98">
        <v>1</v>
      </c>
      <c r="F41" s="77">
        <v>4</v>
      </c>
      <c r="G41" s="77">
        <v>4</v>
      </c>
      <c r="H41" s="77" t="s">
        <v>90</v>
      </c>
      <c r="I41" s="77" t="s">
        <v>209</v>
      </c>
      <c r="J41" s="77" t="s">
        <v>226</v>
      </c>
      <c r="K41" s="77" t="str">
        <f>IF(J41="syllables","1",IF(J41="trigrams","2",IF(J41="strings","3",IF(J41="visual array","4",IF(J41="characters","5",IF(J41="letters","6",IF(J41="free forms","7",IF(J41="odors","8",IF(J41="words","9",IF(J41="pictures","10",IF(J41="object pictures","11",IF(J41="faces","12",IF(J41="names","13",IF(J41="idioms","14",IF(J41="grades","15",IF(J41="syllable-digit pairs","16",IF(J41="trigram-word pairs","17",IF(J41="word-digit pairs","18",IF(J41="English-Swahili pairs","19",IF(J41="spatial position","20",IF(J41="word pairs","21",IF(J41="word triads","22",IF(J41="generated words","23",IF(J41="word definition pairs","24",IF(J41="math problems","25",IF(J41="famous faces","26",IF(J41="famous names","27",IF(J41="famous voices","28",IF(J41="television programs","29",IF(J41="race horses","30",IF(J41="new vocabulary","31",IF(J41="sentences","32",IF(J41="concepts","33",IF(J41="ad slides","34",IF(J41="scenes","35",IF(J41="famous scenes","36",IF(J41="poems","37",IF(J41="walk","38",IF(J41="faces and events","39",IF(J41="events and names","40",IF(J41="flashbulb","41",IF(J41="stories","42",IF(J41="course material","43",IF(J41="autobiographical","44",IF(J41="novels","45",IF(J41="public events","46",IF(J41="order","90","99")))))))))))))))))))))))))))))))))))))))))))))))</f>
        <v>99</v>
      </c>
      <c r="L41" s="77" t="str">
        <f>IF(J41="syllables","1",IF(J41="trigrams","1",IF(J41="strings","1",IF(J41="visual array","1",IF(J41="characters","1",IF(J41="letters","1",IF(J41="free forms","1",IF(J41="odors","2",IF(J41="words","2",IF(J41="pictures","2",IF(J41="object pictures","2",IF(J41="faces","2",IF(J41="names","2",IF(J41="idioms","2",IF(J41="grades","2",IF(J41="syllable-digit pairs","3",IF(J41="trigram-word pairs","3",IF(J41="word-digit pairs","3",IF(J41="English-Swahili pairs","3",IF(J41="spatial position","3",IF(J41="word pairs","4",IF(J41="word triads","4",IF(J41="generated words","4",IF(J41="word definition pairs","4",IF(J41="math problems","4",IF(J41="famous faces","4",IF(J41="famous names","4",IF(J41="famous voices","4",IF(J41="television programs","4",IF(J41="race horses","4",IF(J41="new vocabulary","4",IF(J41="sentences","5",IF(J41="concepts","5",IF(J41="ad slides","5",IF(J41="scenes","5",IF(J41="famous scenes","5",IF(J41="poems","6",IF(J41="walk","6",IF(J41="faces and events","6",IF(J41="events and names","6",IF(J41="flashbulb","7",IF(J41="stories","7",IF(J41="course material","7",IF(J41="autobiographical","7",IF(J41="novels","7",IF(J41="public events","7",IF(J41="order","90","99")))))))))))))))))))))))))))))))))))))))))))))))</f>
        <v>99</v>
      </c>
      <c r="M41" s="77" t="s">
        <v>213</v>
      </c>
      <c r="N41" s="77">
        <v>3</v>
      </c>
      <c r="O41" s="77" t="s">
        <v>195</v>
      </c>
      <c r="P41" s="77"/>
      <c r="Q41" s="77" t="s">
        <v>18</v>
      </c>
      <c r="R41" s="77" t="str">
        <f>IF(Q41="Free Recall","1",IF(Q41="Cued Recall","2",IF(Q41="Recognition","3",IF(Q41="Multiple Choice","4",IF(Q41="Savings","5",IF(Q41="Stem Completion","6",IF(Q41="Fragment Completion","7",IF(Q41="anagram solution","8",IF(Q41="Matching","9",IF(Q41="Problem Solving","10","99"))))))))))</f>
        <v>3</v>
      </c>
      <c r="S41" s="77" t="s">
        <v>196</v>
      </c>
      <c r="T41" s="96" t="s">
        <v>132</v>
      </c>
      <c r="U41" s="32">
        <f>IF(T41="within",1,0)</f>
        <v>1</v>
      </c>
      <c r="V41" s="96">
        <v>240</v>
      </c>
      <c r="W41" s="77">
        <f>F41*V41</f>
        <v>960</v>
      </c>
      <c r="X41" s="77">
        <v>5</v>
      </c>
      <c r="Y41" s="98">
        <f>AV40</f>
        <v>6048000</v>
      </c>
      <c r="Z41" s="77" t="s">
        <v>227</v>
      </c>
      <c r="AA41" s="98">
        <f>110*7*24*60*60</f>
        <v>66528000</v>
      </c>
      <c r="AB41" s="77" t="str">
        <f>IF(AA41&lt;60,"1",IF(AA41&lt;=43200,"2",IF(AA41&lt;=777600,"3","4")))</f>
        <v>4</v>
      </c>
      <c r="AC41" s="100">
        <f>AVERAGE(AV40:DA40)</f>
        <v>27216000</v>
      </c>
      <c r="AD41" s="77" t="str">
        <f>IF(AC41&lt;60,"1",IF(AC41&lt;=43200,"2",IF(AC41&lt;=777600,"3","4")))</f>
        <v>4</v>
      </c>
      <c r="AE41" s="98">
        <f>AA41-Y41</f>
        <v>60480000</v>
      </c>
      <c r="AF41" s="99">
        <f>AV41</f>
        <v>2.86</v>
      </c>
      <c r="AG41" s="100">
        <f>((AW41-AV41)+(AX41-AW41)+(AY41-AX41)+(AZ41-AY41))/4</f>
        <v>-0.38999999999999996</v>
      </c>
      <c r="AH41" s="84"/>
      <c r="AI41" s="100">
        <f>RSQ(AV41:AZ41,AV40:AZ40)</f>
        <v>0.8422780001894512</v>
      </c>
      <c r="AJ41" s="105">
        <f>SLOPE(AV41:AZ41,AV40:AZ40)</f>
        <v>-2.3740862363909239E-8</v>
      </c>
      <c r="AK41" s="100">
        <f>INTERCEPT(AV41:AZ41,AV40:AZ40)</f>
        <v>2.7161313100961539</v>
      </c>
      <c r="AL41" s="100">
        <f>INDEX(LINEST(LN(AV41:AZ41),LN(AV40:AZ40),TRUE,TRUE),3,1)</f>
        <v>0.99428771160653739</v>
      </c>
      <c r="AM41" s="100">
        <f>INDEX(LINEST(LN(AV41:AZ41),LN(AV40:AZ40)),1)</f>
        <v>-0.33027216480459509</v>
      </c>
      <c r="AN41" s="100">
        <f>EXP(INDEX(LINEST(LN(AV41:AZ41),LN(AV40:AZ40)),1,2))</f>
        <v>505.40325802479964</v>
      </c>
      <c r="AO41" s="104">
        <f>INDEX(LINEST((AV41:AZ41),LN(AV40:AZ40),TRUE,TRUE),3,1)</f>
        <v>0.98743533185117904</v>
      </c>
      <c r="AP41" s="104">
        <f>INDEX(LINEST((AV41:AZ41),LN(AV40:AZ40)),1)</f>
        <v>-0.65832389951772197</v>
      </c>
      <c r="AQ41" s="48">
        <f>INDEX(LINEST(LN(AV41:AZ41),SQRT(AV40:AZ40),TRUE,TRUE),3,1)</f>
        <v>0.97511664300773282</v>
      </c>
      <c r="AR41" s="56">
        <f>INDEX(LINEST(LN(AV41:AZ41),SQRT((AV40:AZ40))),1)</f>
        <v>-1.372503446023504E-4</v>
      </c>
      <c r="AS41" s="49">
        <f>INDEX(LINEST(1/(AV41:AZ41),1/(SQRT(AV40:AZ40)),TRUE,TRUE),3,1)</f>
        <v>0.90583365072669764</v>
      </c>
      <c r="AT41" s="49">
        <f>INDEX(LINEST(1/(AV41:AZ41),1/SQRT(AV40:AZ40)),1)</f>
        <v>-1398.9208829100799</v>
      </c>
      <c r="AU41" s="63"/>
      <c r="AV41" s="65">
        <v>2.86</v>
      </c>
      <c r="AW41" s="65">
        <v>2.56</v>
      </c>
      <c r="AX41" s="65">
        <v>1.96</v>
      </c>
      <c r="AY41" s="65">
        <v>1.67</v>
      </c>
      <c r="AZ41" s="65">
        <v>1.3</v>
      </c>
      <c r="BA41" s="65"/>
      <c r="BB41" s="65"/>
      <c r="BC41" s="65"/>
      <c r="BD41" s="65"/>
      <c r="BE41" s="65"/>
      <c r="BF41" s="65"/>
      <c r="BG41" s="65"/>
      <c r="BH41" s="65"/>
      <c r="BI41" s="65"/>
      <c r="BJ41" s="65"/>
      <c r="BK41" s="65"/>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59"/>
      <c r="CS41" s="59"/>
      <c r="CT41" s="59"/>
      <c r="CU41" s="59"/>
    </row>
    <row r="42" spans="1:99" s="60" customFormat="1" ht="12" customHeight="1" x14ac:dyDescent="0.2">
      <c r="A42" s="94">
        <v>43509</v>
      </c>
      <c r="B42" s="101"/>
      <c r="C42" s="101"/>
      <c r="D42" s="77"/>
      <c r="E42" s="98"/>
      <c r="F42" s="77"/>
      <c r="G42" s="77"/>
      <c r="H42" s="77"/>
      <c r="I42" s="77"/>
      <c r="J42" s="77"/>
      <c r="K42" s="102"/>
      <c r="L42" s="102"/>
      <c r="M42" s="77"/>
      <c r="N42" s="77"/>
      <c r="O42" s="77"/>
      <c r="P42" s="77"/>
      <c r="Q42" s="77"/>
      <c r="R42" s="77"/>
      <c r="S42" s="77"/>
      <c r="T42" s="96"/>
      <c r="U42" s="32"/>
      <c r="V42" s="77"/>
      <c r="W42" s="77"/>
      <c r="X42" s="77"/>
      <c r="Y42" s="98"/>
      <c r="Z42" s="77"/>
      <c r="AA42" s="77"/>
      <c r="AB42" s="77"/>
      <c r="AC42" s="77"/>
      <c r="AD42" s="77"/>
      <c r="AE42" s="77"/>
      <c r="AF42" s="99"/>
      <c r="AG42" s="100"/>
      <c r="AH42" s="84"/>
      <c r="AI42" s="100"/>
      <c r="AJ42" s="105"/>
      <c r="AK42" s="100"/>
      <c r="AL42" s="100"/>
      <c r="AM42" s="100"/>
      <c r="AN42" s="100"/>
      <c r="AO42" s="100"/>
      <c r="AP42" s="100"/>
      <c r="AQ42" s="100"/>
      <c r="AR42" s="105"/>
      <c r="AS42" s="100"/>
      <c r="AT42" s="100"/>
      <c r="AU42" s="62"/>
      <c r="AV42" s="64">
        <f>10*7*24*60*60</f>
        <v>6048000</v>
      </c>
      <c r="AW42" s="64">
        <f>16*7*24*60*60</f>
        <v>9676800</v>
      </c>
      <c r="AX42" s="64">
        <f>31*7*24*60*60</f>
        <v>18748800</v>
      </c>
      <c r="AY42" s="64">
        <f>58*7*24*60*60</f>
        <v>35078400</v>
      </c>
      <c r="AZ42" s="64">
        <f>110*7*24*60*60</f>
        <v>66528000</v>
      </c>
      <c r="BA42" s="65"/>
      <c r="BB42" s="65"/>
      <c r="BC42" s="65"/>
      <c r="BD42" s="65"/>
      <c r="BE42" s="65"/>
      <c r="BF42" s="65"/>
      <c r="BG42" s="65"/>
      <c r="BH42" s="65"/>
      <c r="BI42" s="65"/>
      <c r="BJ42" s="65"/>
      <c r="BK42" s="65"/>
      <c r="BL42" s="61"/>
      <c r="BM42" s="61"/>
      <c r="BN42" s="61"/>
      <c r="BO42" s="61"/>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59"/>
      <c r="CS42" s="59"/>
      <c r="CT42" s="59"/>
      <c r="CU42" s="59"/>
    </row>
    <row r="43" spans="1:99" s="60" customFormat="1" ht="12" customHeight="1" x14ac:dyDescent="0.2">
      <c r="A43" s="94">
        <v>43509</v>
      </c>
      <c r="B43" s="101" t="s">
        <v>225</v>
      </c>
      <c r="C43" s="101" t="s">
        <v>204</v>
      </c>
      <c r="D43" s="77">
        <v>1972</v>
      </c>
      <c r="E43" s="98">
        <v>1</v>
      </c>
      <c r="F43" s="77">
        <v>4</v>
      </c>
      <c r="G43" s="77">
        <v>4</v>
      </c>
      <c r="H43" s="77" t="s">
        <v>90</v>
      </c>
      <c r="I43" s="77" t="s">
        <v>211</v>
      </c>
      <c r="J43" s="77" t="s">
        <v>226</v>
      </c>
      <c r="K43" s="77" t="str">
        <f>IF(J43="syllables","1",IF(J43="trigrams","2",IF(J43="strings","3",IF(J43="visual array","4",IF(J43="characters","5",IF(J43="letters","6",IF(J43="free forms","7",IF(J43="odors","8",IF(J43="words","9",IF(J43="pictures","10",IF(J43="object pictures","11",IF(J43="faces","12",IF(J43="names","13",IF(J43="idioms","14",IF(J43="grades","15",IF(J43="syllable-digit pairs","16",IF(J43="trigram-word pairs","17",IF(J43="word-digit pairs","18",IF(J43="English-Swahili pairs","19",IF(J43="spatial position","20",IF(J43="word pairs","21",IF(J43="word triads","22",IF(J43="generated words","23",IF(J43="word definition pairs","24",IF(J43="math problems","25",IF(J43="famous faces","26",IF(J43="famous names","27",IF(J43="famous voices","28",IF(J43="television programs","29",IF(J43="race horses","30",IF(J43="new vocabulary","31",IF(J43="sentences","32",IF(J43="concepts","33",IF(J43="ad slides","34",IF(J43="scenes","35",IF(J43="famous scenes","36",IF(J43="poems","37",IF(J43="walk","38",IF(J43="faces and events","39",IF(J43="events and names","40",IF(J43="flashbulb","41",IF(J43="stories","42",IF(J43="course material","43",IF(J43="autobiographical","44",IF(J43="novels","45",IF(J43="public events","46",IF(J43="order","90","99")))))))))))))))))))))))))))))))))))))))))))))))</f>
        <v>99</v>
      </c>
      <c r="L43" s="77" t="str">
        <f>IF(J43="syllables","1",IF(J43="trigrams","1",IF(J43="strings","1",IF(J43="visual array","1",IF(J43="characters","1",IF(J43="letters","1",IF(J43="free forms","1",IF(J43="odors","2",IF(J43="words","2",IF(J43="pictures","2",IF(J43="object pictures","2",IF(J43="faces","2",IF(J43="names","2",IF(J43="idioms","2",IF(J43="grades","2",IF(J43="syllable-digit pairs","3",IF(J43="trigram-word pairs","3",IF(J43="word-digit pairs","3",IF(J43="English-Swahili pairs","3",IF(J43="spatial position","3",IF(J43="word pairs","4",IF(J43="word triads","4",IF(J43="generated words","4",IF(J43="word definition pairs","4",IF(J43="math problems","4",IF(J43="famous faces","4",IF(J43="famous names","4",IF(J43="famous voices","4",IF(J43="television programs","4",IF(J43="race horses","4",IF(J43="new vocabulary","4",IF(J43="sentences","5",IF(J43="concepts","5",IF(J43="ad slides","5",IF(J43="scenes","5",IF(J43="famous scenes","5",IF(J43="poems","6",IF(J43="walk","6",IF(J43="faces and events","6",IF(J43="events and names","6",IF(J43="flashbulb","7",IF(J43="stories","7",IF(J43="course material","7",IF(J43="autobiographical","7",IF(J43="novels","7",IF(J43="public events","7",IF(J43="order","90","99")))))))))))))))))))))))))))))))))))))))))))))))</f>
        <v>99</v>
      </c>
      <c r="M43" s="77" t="s">
        <v>213</v>
      </c>
      <c r="N43" s="77">
        <v>3</v>
      </c>
      <c r="O43" s="77" t="s">
        <v>195</v>
      </c>
      <c r="P43" s="77"/>
      <c r="Q43" s="77" t="s">
        <v>18</v>
      </c>
      <c r="R43" s="77" t="str">
        <f>IF(Q43="Free Recall","1",IF(Q43="Cued Recall","2",IF(Q43="Recognition","3",IF(Q43="Multiple Choice","4",IF(Q43="Savings","5",IF(Q43="Stem Completion","6",IF(Q43="Fragment Completion","7",IF(Q43="anagram solution","8",IF(Q43="Matching","9",IF(Q43="Problem Solving","10","99"))))))))))</f>
        <v>3</v>
      </c>
      <c r="S43" s="77" t="s">
        <v>196</v>
      </c>
      <c r="T43" s="96" t="s">
        <v>132</v>
      </c>
      <c r="U43" s="32">
        <f>IF(T43="within",1,0)</f>
        <v>1</v>
      </c>
      <c r="V43" s="96">
        <v>240</v>
      </c>
      <c r="W43" s="77">
        <f>F43*V43</f>
        <v>960</v>
      </c>
      <c r="X43" s="77">
        <v>5</v>
      </c>
      <c r="Y43" s="98">
        <f>AV42</f>
        <v>6048000</v>
      </c>
      <c r="Z43" s="77" t="s">
        <v>227</v>
      </c>
      <c r="AA43" s="98">
        <f>110*7*24*60*60</f>
        <v>66528000</v>
      </c>
      <c r="AB43" s="77" t="str">
        <f>IF(AA43&lt;60,"1",IF(AA43&lt;=43200,"2",IF(AA43&lt;=777600,"3","4")))</f>
        <v>4</v>
      </c>
      <c r="AC43" s="100">
        <f>AVERAGE(AV42:DA42)</f>
        <v>27216000</v>
      </c>
      <c r="AD43" s="77" t="str">
        <f>IF(AC43&lt;60,"1",IF(AC43&lt;=43200,"2",IF(AC43&lt;=777600,"3","4")))</f>
        <v>4</v>
      </c>
      <c r="AE43" s="98">
        <f>AA43-Y43</f>
        <v>60480000</v>
      </c>
      <c r="AF43" s="99">
        <f>AV43</f>
        <v>1.03</v>
      </c>
      <c r="AG43" s="100">
        <f>((AW43-AV43)+(AX43-AW43)+(AY43-AX43)+(AZ43-AY43))/4</f>
        <v>-0.10250000000000001</v>
      </c>
      <c r="AH43" s="84"/>
      <c r="AI43" s="100">
        <f>RSQ(AV43:AZ43,AV42:AZ42)</f>
        <v>0.70753327836023083</v>
      </c>
      <c r="AJ43" s="105">
        <f>SLOPE(AV43:AZ43,AV42:AZ42)</f>
        <v>-6.1606506919006917E-9</v>
      </c>
      <c r="AK43" s="100">
        <f>INTERCEPT(AV43:AZ43,AV42:AZ42)</f>
        <v>0.9576682692307692</v>
      </c>
      <c r="AL43" s="100">
        <f>INDEX(LINEST(LN(AV43:AZ43),LN(AV42:AZ42),TRUE,TRUE),3,1)</f>
        <v>0.88939117315288863</v>
      </c>
      <c r="AM43" s="100">
        <f>INDEX(LINEST(LN(AV43:AZ43),LN(AV42:AZ42)),1)</f>
        <v>-0.22657487568664167</v>
      </c>
      <c r="AN43" s="100">
        <f>EXP(INDEX(LINEST(LN(AV43:AZ43),LN(AV42:AZ42)),1,2))</f>
        <v>34.533411804716984</v>
      </c>
      <c r="AO43" s="104">
        <f>INDEX(LINEST((AV43:AZ43),LN(AV42:AZ42),TRUE,TRUE),3,1)</f>
        <v>0.89522513284079741</v>
      </c>
      <c r="AP43" s="104">
        <f>INDEX(LINEST((AV43:AZ43),LN(AV42:AZ42)),1)</f>
        <v>-0.17747443868928706</v>
      </c>
      <c r="AQ43" s="48">
        <f>INDEX(LINEST(LN(AV43:AZ43),SQRT(AV42:AZ42),TRUE,TRUE),3,1)</f>
        <v>0.82450611702499044</v>
      </c>
      <c r="AR43" s="56">
        <f>INDEX(LINEST(LN(AV43:AZ43),SQRT((AV42:AZ42))),1)</f>
        <v>-9.154434168646294E-5</v>
      </c>
      <c r="AS43" s="49">
        <f>INDEX(LINEST(1/(AV43:AZ43),1/(SQRT(AV42:AZ42)),TRUE,TRUE),3,1)</f>
        <v>0.86596372839355162</v>
      </c>
      <c r="AT43" s="49">
        <f>INDEX(LINEST(1/(AV43:AZ43),1/SQRT(AV42:AZ42)),1)</f>
        <v>-2463.6838683717115</v>
      </c>
      <c r="AU43" s="63"/>
      <c r="AV43" s="65">
        <v>1.03</v>
      </c>
      <c r="AW43" s="65">
        <v>0.87</v>
      </c>
      <c r="AX43" s="65">
        <v>0.83</v>
      </c>
      <c r="AY43" s="65">
        <v>0.6</v>
      </c>
      <c r="AZ43" s="65">
        <v>0.62</v>
      </c>
      <c r="BA43" s="65"/>
      <c r="BB43" s="65"/>
      <c r="BC43" s="65"/>
      <c r="BD43" s="65"/>
      <c r="BE43" s="65"/>
      <c r="BF43" s="65"/>
      <c r="BG43" s="65"/>
      <c r="BH43" s="65"/>
      <c r="BI43" s="65"/>
      <c r="BJ43" s="65"/>
      <c r="BK43" s="65"/>
      <c r="BL43" s="61"/>
      <c r="BM43" s="61"/>
      <c r="BN43" s="61"/>
      <c r="BO43" s="61"/>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59"/>
      <c r="CS43" s="59"/>
      <c r="CT43" s="59"/>
      <c r="CU43" s="59"/>
    </row>
    <row r="44" spans="1:99" s="60" customFormat="1" ht="12" customHeight="1" x14ac:dyDescent="0.2">
      <c r="A44" s="94">
        <v>43509</v>
      </c>
      <c r="B44" s="101"/>
      <c r="C44" s="101"/>
      <c r="D44" s="77"/>
      <c r="E44" s="98"/>
      <c r="F44" s="77"/>
      <c r="G44" s="77"/>
      <c r="H44" s="77"/>
      <c r="I44" s="77"/>
      <c r="J44" s="77"/>
      <c r="K44" s="102"/>
      <c r="L44" s="102"/>
      <c r="M44" s="77"/>
      <c r="N44" s="77"/>
      <c r="O44" s="77"/>
      <c r="P44" s="77"/>
      <c r="Q44" s="77"/>
      <c r="R44" s="77"/>
      <c r="S44" s="77"/>
      <c r="T44" s="96"/>
      <c r="U44" s="96"/>
      <c r="V44" s="77"/>
      <c r="W44" s="77"/>
      <c r="X44" s="77"/>
      <c r="Y44" s="98"/>
      <c r="Z44" s="77"/>
      <c r="AA44" s="77"/>
      <c r="AB44" s="77"/>
      <c r="AC44" s="77"/>
      <c r="AD44" s="77"/>
      <c r="AE44" s="77"/>
      <c r="AF44" s="99"/>
      <c r="AG44" s="100"/>
      <c r="AH44" s="84"/>
      <c r="AI44" s="100"/>
      <c r="AJ44" s="105"/>
      <c r="AK44" s="100"/>
      <c r="AL44" s="100"/>
      <c r="AM44" s="100"/>
      <c r="AN44" s="100"/>
      <c r="AO44" s="100"/>
      <c r="AP44" s="100"/>
      <c r="AQ44" s="100"/>
      <c r="AR44" s="105"/>
      <c r="AS44" s="100"/>
      <c r="AT44" s="100"/>
      <c r="AU44" s="62"/>
      <c r="AV44" s="64">
        <f>2*60</f>
        <v>120</v>
      </c>
      <c r="AW44" s="64">
        <f>4*60</f>
        <v>240</v>
      </c>
      <c r="AX44" s="64">
        <f>7*60</f>
        <v>420</v>
      </c>
      <c r="AY44" s="64">
        <f>15*60</f>
        <v>900</v>
      </c>
      <c r="AZ44" s="64">
        <f>30*60</f>
        <v>1800</v>
      </c>
      <c r="BA44" s="64">
        <f>50*60</f>
        <v>3000</v>
      </c>
      <c r="BB44" s="64">
        <f>24*60*60</f>
        <v>86400</v>
      </c>
      <c r="BC44" s="64">
        <f>2*24*60*60</f>
        <v>172800</v>
      </c>
      <c r="BD44" s="64">
        <f>4*24*60*60</f>
        <v>345600</v>
      </c>
      <c r="BE44" s="64">
        <f>7*24*60*60</f>
        <v>604800</v>
      </c>
      <c r="BF44" s="64">
        <f>10*24*60*60</f>
        <v>864000</v>
      </c>
      <c r="BG44" s="64">
        <f>14*24*60*60</f>
        <v>1209600</v>
      </c>
      <c r="BH44" s="65"/>
      <c r="BI44" s="65"/>
      <c r="BJ44" s="65"/>
      <c r="BK44" s="65"/>
      <c r="BL44" s="61"/>
      <c r="BM44" s="61"/>
      <c r="BN44" s="61"/>
      <c r="BO44" s="61"/>
      <c r="BP44" s="61"/>
      <c r="BQ44" s="61"/>
      <c r="BR44" s="61"/>
      <c r="BS44" s="61"/>
      <c r="BT44" s="61"/>
      <c r="BU44" s="61"/>
      <c r="BV44" s="61"/>
      <c r="BW44" s="61"/>
      <c r="BX44" s="61"/>
      <c r="BY44" s="61"/>
      <c r="BZ44" s="61"/>
      <c r="CA44" s="61"/>
      <c r="CB44" s="61"/>
      <c r="CC44" s="61"/>
      <c r="CD44" s="61"/>
      <c r="CE44" s="61"/>
      <c r="CF44" s="61"/>
      <c r="CG44" s="61"/>
      <c r="CH44" s="61"/>
      <c r="CI44" s="61"/>
      <c r="CJ44" s="61"/>
      <c r="CK44" s="61"/>
      <c r="CL44" s="61"/>
      <c r="CM44" s="61"/>
      <c r="CN44" s="61"/>
      <c r="CO44" s="61"/>
      <c r="CP44" s="61"/>
      <c r="CQ44" s="61"/>
      <c r="CR44" s="59"/>
      <c r="CS44" s="59"/>
      <c r="CT44" s="59"/>
      <c r="CU44" s="59"/>
    </row>
    <row r="45" spans="1:99" s="60" customFormat="1" ht="12" customHeight="1" x14ac:dyDescent="0.2">
      <c r="A45" s="94">
        <v>43509</v>
      </c>
      <c r="B45" s="101" t="s">
        <v>231</v>
      </c>
      <c r="C45" s="101" t="s">
        <v>33</v>
      </c>
      <c r="D45" s="77">
        <v>1975</v>
      </c>
      <c r="E45" s="98">
        <v>1</v>
      </c>
      <c r="F45" s="77">
        <v>10</v>
      </c>
      <c r="G45" s="77">
        <v>10</v>
      </c>
      <c r="H45" s="77" t="s">
        <v>28</v>
      </c>
      <c r="I45" s="77" t="s">
        <v>232</v>
      </c>
      <c r="J45" s="77" t="s">
        <v>12</v>
      </c>
      <c r="K45" s="77" t="str">
        <f>IF(J45="syllables","1",IF(J45="trigrams","2",IF(J45="strings","3",IF(J45="visual array","4",IF(J45="characters","5",IF(J45="letters","6",IF(J45="free forms","7",IF(J45="odors","8",IF(J45="words","9",IF(J45="pictures","10",IF(J45="object pictures","11",IF(J45="faces","12",IF(J45="names","13",IF(J45="idioms","14",IF(J45="grades","15",IF(J45="syllable-digit pairs","16",IF(J45="trigram-word pairs","17",IF(J45="word-digit pairs","18",IF(J45="English-Swahili pairs","19",IF(J45="spatial position","20",IF(J45="word pairs","21",IF(J45="word triads","22",IF(J45="generated words","23",IF(J45="word definition pairs","24",IF(J45="math problems","25",IF(J45="famous faces","26",IF(J45="famous names","27",IF(J45="famous voices","28",IF(J45="television programs","29",IF(J45="race horses","30",IF(J45="new vocabulary","31",IF(J45="sentences","32",IF(J45="concepts","33",IF(J45="ad slides","34",IF(J45="scenes","35",IF(J45="famous scenes","36",IF(J45="poems","37",IF(J45="walk","38",IF(J45="faces and events","39",IF(J45="events and names","40",IF(J45="flashbulb","41",IF(J45="stories","42",IF(J45="course material","43",IF(J45="autobiographical","44",IF(J45="novels","45",IF(J45="public events","46",IF(J45="order","90","99")))))))))))))))))))))))))))))))))))))))))))))))</f>
        <v>9</v>
      </c>
      <c r="L45" s="77" t="str">
        <f>IF(J45="syllables","1",IF(J45="trigrams","1",IF(J45="strings","1",IF(J45="visual array","1",IF(J45="characters","1",IF(J45="letters","1",IF(J45="free forms","1",IF(J45="odors","2",IF(J45="words","2",IF(J45="pictures","2",IF(J45="object pictures","2",IF(J45="faces","2",IF(J45="names","2",IF(J45="idioms","2",IF(J45="grades","2",IF(J45="syllable-digit pairs","3",IF(J45="trigram-word pairs","3",IF(J45="word-digit pairs","3",IF(J45="English-Swahili pairs","3",IF(J45="spatial position","3",IF(J45="word pairs","4",IF(J45="word triads","4",IF(J45="generated words","4",IF(J45="word definition pairs","4",IF(J45="math problems","4",IF(J45="famous faces","4",IF(J45="famous names","4",IF(J45="famous voices","4",IF(J45="television programs","4",IF(J45="race horses","4",IF(J45="new vocabulary","4",IF(J45="sentences","5",IF(J45="concepts","5",IF(J45="ad slides","5",IF(J45="scenes","5",IF(J45="famous scenes","5",IF(J45="poems","6",IF(J45="walk","6",IF(J45="faces and events","6",IF(J45="events and names","6",IF(J45="flashbulb","7",IF(J45="stories","7",IF(J45="course material","7",IF(J45="autobiographical","7",IF(J45="novels","7",IF(J45="public events","7",IF(J45="order","90","99")))))))))))))))))))))))))))))))))))))))))))))))</f>
        <v>2</v>
      </c>
      <c r="M45" s="77" t="s">
        <v>195</v>
      </c>
      <c r="N45" s="77">
        <v>1</v>
      </c>
      <c r="O45" s="77" t="s">
        <v>195</v>
      </c>
      <c r="P45" s="77"/>
      <c r="Q45" s="77" t="s">
        <v>18</v>
      </c>
      <c r="R45" s="77" t="str">
        <f>IF(Q45="Free Recall","1",IF(Q45="Cued Recall","2",IF(Q45="Recognition","3",IF(Q45="Multiple Choice","4",IF(Q45="Savings","5",IF(Q45="Stem Completion","6",IF(Q45="Fragment Completion","7",IF(Q45="anagram solution","8",IF(Q45="Matching","9",IF(Q45="Problem Solving","10","99"))))))))))</f>
        <v>3</v>
      </c>
      <c r="S45" s="77" t="s">
        <v>196</v>
      </c>
      <c r="T45" s="96" t="s">
        <v>132</v>
      </c>
      <c r="U45" s="32">
        <f>IF(T45="within",1,0)</f>
        <v>1</v>
      </c>
      <c r="V45" s="96">
        <v>600</v>
      </c>
      <c r="W45" s="77">
        <f>F45*V45</f>
        <v>6000</v>
      </c>
      <c r="X45" s="77">
        <v>12</v>
      </c>
      <c r="Y45" s="98">
        <f>AV44</f>
        <v>120</v>
      </c>
      <c r="Z45" s="77" t="s">
        <v>59</v>
      </c>
      <c r="AA45" s="98">
        <f>14*24*60*60</f>
        <v>1209600</v>
      </c>
      <c r="AB45" s="77" t="str">
        <f>IF(AA45&lt;60,"1",IF(AA45&lt;=43200,"2",IF(AA45&lt;=777600,"3","4")))</f>
        <v>4</v>
      </c>
      <c r="AC45" s="100">
        <f>AVERAGE(AV44:DA44)</f>
        <v>274140</v>
      </c>
      <c r="AD45" s="77" t="str">
        <f>IF(AC45&lt;60,"1",IF(AC45&lt;=43200,"2",IF(AC45&lt;=777600,"3","4")))</f>
        <v>3</v>
      </c>
      <c r="AE45" s="98">
        <f>AA45-Y45</f>
        <v>1209480</v>
      </c>
      <c r="AF45" s="99">
        <f>AV45</f>
        <v>2.79</v>
      </c>
      <c r="AG45" s="100">
        <f>((AW45-AV45)+(AX45-AW45)+(AY45-AX45)+(AZ45-AY45)+(BA45-AZ45)+(BB45-BA45)+(BC45-BB45)+(BD45-BC45)+(BE45-BD45)+(BF45-BE45)+(BG45-BF45))/11</f>
        <v>-0.23818181818181819</v>
      </c>
      <c r="AH45" s="84"/>
      <c r="AI45" s="100">
        <f>RSQ(AV45:BG45,AV44:BG44)</f>
        <v>0.47339041053421671</v>
      </c>
      <c r="AJ45" s="105">
        <f>SLOPE(AV45:BG45,AV44:BG44)</f>
        <v>-1.5170680069343578E-6</v>
      </c>
      <c r="AK45" s="100">
        <f>INTERCEPT(AV45:BG45,AV44:BG44)</f>
        <v>1.5017223567543183</v>
      </c>
      <c r="AL45" s="100">
        <f>INDEX(LINEST(LN(AV45:BG45),LN(AV44:BG44),TRUE,TRUE),3,1)</f>
        <v>0.98550569892021489</v>
      </c>
      <c r="AM45" s="100">
        <f>INDEX(LINEST(LN(AV45:BG45),LN(AV44:BG44)),1)</f>
        <v>-0.28036390513334736</v>
      </c>
      <c r="AN45" s="100">
        <f>EXP(INDEX(LINEST(LN(AV45:BG45),LN(AV44:BG44)),1,2))</f>
        <v>10.898420242290976</v>
      </c>
      <c r="AO45" s="104">
        <f>INDEX(LINEST((AV45:BG45),LN(AV44:BG44),TRUE,TRUE),3,1)</f>
        <v>0.93443651152297802</v>
      </c>
      <c r="AP45" s="104">
        <f>INDEX(LINEST((AV45:BG45),LN(AV44:BG44)),1)</f>
        <v>-0.24687248959437136</v>
      </c>
      <c r="AQ45" s="48">
        <f>INDEX(LINEST(LN(AV45:BG45),SQRT(AV44:BG44),TRUE,TRUE),3,1)</f>
        <v>0.90706599246740616</v>
      </c>
      <c r="AR45" s="56">
        <f>INDEX(LINEST(LN(AV45:BG45),SQRT((AV44:BG44))),1)</f>
        <v>-2.3654636792636761E-3</v>
      </c>
      <c r="AS45" s="49">
        <f>INDEX(LINEST(1/(AV45:BG45),1/(SQRT(AV44:BG44)),TRUE,TRUE),3,1)</f>
        <v>0.49160156217332146</v>
      </c>
      <c r="AT45" s="49">
        <f>INDEX(LINEST(1/(AV45:BG45),1/SQRT(AV44:BG44)),1)</f>
        <v>-44.065462611935793</v>
      </c>
      <c r="AU45" s="63"/>
      <c r="AV45" s="65">
        <v>2.79</v>
      </c>
      <c r="AW45" s="65">
        <v>2.2799999999999998</v>
      </c>
      <c r="AX45" s="65">
        <v>1.85</v>
      </c>
      <c r="AY45" s="65">
        <v>1.69</v>
      </c>
      <c r="AZ45" s="65">
        <v>1.3</v>
      </c>
      <c r="BA45" s="65">
        <v>1.17</v>
      </c>
      <c r="BB45" s="65">
        <v>0.5</v>
      </c>
      <c r="BC45" s="65">
        <v>0.47</v>
      </c>
      <c r="BD45" s="65">
        <v>0.34</v>
      </c>
      <c r="BE45" s="65">
        <v>0.26</v>
      </c>
      <c r="BF45" s="65">
        <v>0.21</v>
      </c>
      <c r="BG45" s="65">
        <v>0.17</v>
      </c>
      <c r="BH45" s="65"/>
      <c r="BI45" s="65"/>
      <c r="BJ45" s="65"/>
      <c r="BK45" s="65"/>
      <c r="BL45" s="61"/>
      <c r="BM45" s="61"/>
      <c r="BN45" s="61"/>
      <c r="BO45" s="61"/>
      <c r="BP45" s="61"/>
      <c r="BQ45" s="61"/>
      <c r="BR45" s="61"/>
      <c r="BS45" s="61"/>
      <c r="BT45" s="61"/>
      <c r="BU45" s="61"/>
      <c r="BV45" s="61"/>
      <c r="BW45" s="61"/>
      <c r="BX45" s="61"/>
      <c r="BY45" s="61"/>
      <c r="BZ45" s="61"/>
      <c r="CA45" s="61"/>
      <c r="CB45" s="61"/>
      <c r="CC45" s="61"/>
      <c r="CD45" s="61"/>
      <c r="CE45" s="61"/>
      <c r="CF45" s="61"/>
      <c r="CG45" s="61"/>
      <c r="CH45" s="61"/>
      <c r="CI45" s="61"/>
      <c r="CJ45" s="61"/>
      <c r="CK45" s="61"/>
      <c r="CL45" s="61"/>
      <c r="CM45" s="61"/>
      <c r="CN45" s="61"/>
      <c r="CO45" s="61"/>
      <c r="CP45" s="61"/>
      <c r="CQ45" s="61"/>
      <c r="CR45" s="59"/>
      <c r="CS45" s="59"/>
      <c r="CT45" s="59"/>
      <c r="CU45" s="59"/>
    </row>
    <row r="46" spans="1:99" ht="12" customHeight="1" x14ac:dyDescent="0.2">
      <c r="R46" s="32"/>
      <c r="U46" s="32"/>
      <c r="W46" s="32"/>
      <c r="Y46" s="41"/>
      <c r="AB46" s="32"/>
      <c r="AD46" s="32"/>
      <c r="AE46" s="32"/>
      <c r="AF46" s="45"/>
    </row>
    <row r="47" spans="1:99" ht="12" customHeight="1" x14ac:dyDescent="0.2">
      <c r="K47" s="32"/>
      <c r="R47" s="32"/>
      <c r="U47" s="32"/>
      <c r="X47" s="36">
        <f>SUM(X2:X45)</f>
        <v>114</v>
      </c>
      <c r="Y47" s="36"/>
      <c r="AB47" s="32"/>
      <c r="AD47" s="32"/>
      <c r="AE47" s="42"/>
      <c r="AF47" s="29"/>
      <c r="AL47" s="68" t="s">
        <v>135</v>
      </c>
      <c r="AM47" s="29">
        <f>AVERAGE(AM2:AM45)</f>
        <v>-0.13179603198055378</v>
      </c>
    </row>
    <row r="48" spans="1:99" ht="12" customHeight="1" x14ac:dyDescent="0.2">
      <c r="R48" s="32"/>
      <c r="Y48" s="36"/>
      <c r="AB48" s="32"/>
      <c r="AD48" s="32"/>
      <c r="AF48" s="36"/>
      <c r="AG48" s="36"/>
      <c r="AL48" s="23" t="s">
        <v>188</v>
      </c>
      <c r="AM48" s="29">
        <f>MEDIAN(AM2:AM45)</f>
        <v>-0.12280542372743503</v>
      </c>
    </row>
    <row r="49" spans="11:39" ht="12" customHeight="1" x14ac:dyDescent="0.2">
      <c r="K49" s="32"/>
      <c r="R49" s="32"/>
      <c r="Y49" s="36"/>
      <c r="AB49" s="32"/>
      <c r="AD49" s="32"/>
      <c r="AF49" s="36"/>
      <c r="AG49" s="36"/>
      <c r="AL49" s="68" t="s">
        <v>167</v>
      </c>
      <c r="AM49" s="29">
        <f>MIN(AM2:AM45)</f>
        <v>-0.33027216480459509</v>
      </c>
    </row>
    <row r="50" spans="11:39" ht="12" customHeight="1" x14ac:dyDescent="0.2">
      <c r="R50" s="32"/>
      <c r="Y50" s="36"/>
      <c r="AB50" s="32"/>
      <c r="AD50" s="32"/>
      <c r="AF50" s="29"/>
      <c r="AG50" s="74"/>
      <c r="AL50" s="68" t="s">
        <v>166</v>
      </c>
      <c r="AM50" s="29">
        <f>MAX(AM2:AM45)</f>
        <v>-1.1639941262594255E-2</v>
      </c>
    </row>
    <row r="51" spans="11:39" ht="12" customHeight="1" x14ac:dyDescent="0.2">
      <c r="K51" s="32"/>
      <c r="R51" s="32"/>
      <c r="Y51" s="36"/>
      <c r="AB51" s="32"/>
      <c r="AD51" s="32"/>
      <c r="AF51" s="36"/>
      <c r="AG51" s="36"/>
      <c r="AL51" s="68" t="s">
        <v>168</v>
      </c>
      <c r="AM51" s="36">
        <f xml:space="preserve"> STDEV(AM2:AM45)</f>
        <v>8.81766518885857E-2</v>
      </c>
    </row>
    <row r="52" spans="11:39" ht="12" customHeight="1" x14ac:dyDescent="0.2">
      <c r="R52" s="32"/>
      <c r="W52" s="32"/>
      <c r="Y52" s="41"/>
      <c r="AB52" s="32"/>
      <c r="AD52" s="32"/>
      <c r="AE52" s="32"/>
      <c r="AF52" s="45"/>
      <c r="AL52" s="23" t="s">
        <v>187</v>
      </c>
      <c r="AM52" s="36">
        <f xml:space="preserve"> STDEV(AM2:AM45)/SQRT(COUNT(AM2:AM45))</f>
        <v>1.879932534848576E-2</v>
      </c>
    </row>
    <row r="53" spans="11:39" ht="12" customHeight="1" x14ac:dyDescent="0.2">
      <c r="K53" s="32"/>
      <c r="R53" s="32"/>
      <c r="W53" s="32"/>
      <c r="Y53" s="41"/>
      <c r="AB53" s="32"/>
      <c r="AD53" s="32"/>
      <c r="AE53" s="41"/>
      <c r="AF53" s="45"/>
      <c r="AL53" s="69"/>
      <c r="AM53" s="70"/>
    </row>
    <row r="54" spans="11:39" ht="12" customHeight="1" x14ac:dyDescent="0.2">
      <c r="R54" s="32"/>
      <c r="W54" s="32"/>
      <c r="Y54" s="41"/>
      <c r="AB54" s="32"/>
      <c r="AD54" s="32"/>
      <c r="AE54" s="32"/>
      <c r="AF54" s="45"/>
      <c r="AL54" s="69" t="s">
        <v>45</v>
      </c>
      <c r="AM54" s="70">
        <f>AM47-(3*AM51)</f>
        <v>-0.39632598764631088</v>
      </c>
    </row>
    <row r="55" spans="11:39" ht="12" customHeight="1" x14ac:dyDescent="0.2">
      <c r="K55" s="32"/>
      <c r="L55" s="32"/>
      <c r="R55" s="32"/>
      <c r="W55" s="32"/>
      <c r="Y55" s="41"/>
      <c r="AB55" s="32"/>
      <c r="AE55" s="41"/>
      <c r="AF55" s="45"/>
      <c r="AL55" s="69" t="s">
        <v>44</v>
      </c>
      <c r="AM55" s="70">
        <f>AM47+(3*AM51)</f>
        <v>0.13273392368520331</v>
      </c>
    </row>
    <row r="56" spans="11:39" ht="12" customHeight="1" x14ac:dyDescent="0.2">
      <c r="R56" s="32"/>
      <c r="W56" s="32"/>
      <c r="Y56" s="41"/>
      <c r="AB56" s="32"/>
      <c r="AE56" s="32"/>
      <c r="AF56" s="45"/>
    </row>
    <row r="57" spans="11:39" ht="12" customHeight="1" x14ac:dyDescent="0.2">
      <c r="K57" s="32"/>
      <c r="L57" s="32"/>
      <c r="R57" s="32"/>
      <c r="W57" s="32"/>
      <c r="Y57" s="41"/>
      <c r="AB57" s="32"/>
      <c r="AE57" s="41"/>
      <c r="AF57" s="45"/>
    </row>
    <row r="58" spans="11:39" ht="12" customHeight="1" x14ac:dyDescent="0.2">
      <c r="R58" s="32"/>
      <c r="W58" s="32"/>
      <c r="Y58" s="41"/>
      <c r="AB58" s="32"/>
      <c r="AE58" s="32"/>
      <c r="AF58" s="45"/>
    </row>
    <row r="59" spans="11:39" ht="12" customHeight="1" x14ac:dyDescent="0.2">
      <c r="K59" s="32"/>
      <c r="L59" s="32"/>
      <c r="R59" s="32"/>
      <c r="W59" s="32"/>
      <c r="Y59" s="41"/>
      <c r="AB59" s="32"/>
      <c r="AE59" s="41"/>
      <c r="AF59" s="45"/>
    </row>
    <row r="60" spans="11:39" ht="12" customHeight="1" x14ac:dyDescent="0.2">
      <c r="R60" s="32"/>
      <c r="W60" s="32"/>
      <c r="Y60" s="41"/>
      <c r="AB60" s="32"/>
      <c r="AE60" s="32"/>
      <c r="AF60" s="45"/>
    </row>
    <row r="61" spans="11:39" ht="12" customHeight="1" x14ac:dyDescent="0.2">
      <c r="K61" s="32"/>
      <c r="L61" s="32"/>
      <c r="R61" s="32"/>
      <c r="W61" s="32"/>
      <c r="Y61" s="41"/>
      <c r="AB61" s="32"/>
      <c r="AE61" s="41"/>
      <c r="AF61" s="45"/>
    </row>
    <row r="62" spans="11:39" ht="12" customHeight="1" x14ac:dyDescent="0.2">
      <c r="R62" s="32"/>
      <c r="W62" s="32"/>
      <c r="Y62" s="41"/>
      <c r="AB62" s="32"/>
      <c r="AE62" s="32"/>
      <c r="AF62" s="45"/>
    </row>
    <row r="63" spans="11:39" ht="12" customHeight="1" x14ac:dyDescent="0.2">
      <c r="K63" s="32"/>
      <c r="L63" s="32"/>
      <c r="R63" s="32"/>
      <c r="W63" s="32"/>
      <c r="Y63" s="41"/>
      <c r="AB63" s="32"/>
      <c r="AE63" s="41"/>
      <c r="AF63" s="45"/>
    </row>
    <row r="64" spans="11:39" ht="12" customHeight="1" x14ac:dyDescent="0.2">
      <c r="R64" s="32"/>
      <c r="W64" s="32"/>
      <c r="Y64" s="41"/>
      <c r="AB64" s="32"/>
      <c r="AE64" s="32"/>
      <c r="AF64" s="45"/>
    </row>
    <row r="65" spans="11:32" ht="12" customHeight="1" x14ac:dyDescent="0.2">
      <c r="K65" s="32"/>
      <c r="L65" s="32"/>
      <c r="R65" s="32"/>
      <c r="W65" s="32"/>
      <c r="Y65" s="41"/>
      <c r="AB65" s="32"/>
      <c r="AE65" s="41"/>
      <c r="AF65" s="45"/>
    </row>
    <row r="66" spans="11:32" ht="12" customHeight="1" x14ac:dyDescent="0.2">
      <c r="R66" s="32"/>
      <c r="W66" s="32"/>
      <c r="Y66" s="41"/>
      <c r="AB66" s="32"/>
      <c r="AE66" s="32"/>
      <c r="AF66" s="45"/>
    </row>
    <row r="67" spans="11:32" ht="12" customHeight="1" x14ac:dyDescent="0.2">
      <c r="K67" s="32"/>
      <c r="L67" s="32"/>
      <c r="R67" s="32"/>
      <c r="W67" s="32"/>
      <c r="Y67" s="41"/>
      <c r="AB67" s="32"/>
      <c r="AE67" s="41"/>
      <c r="AF67" s="45"/>
    </row>
    <row r="68" spans="11:32" ht="12" customHeight="1" x14ac:dyDescent="0.2">
      <c r="R68" s="32"/>
      <c r="W68" s="32"/>
      <c r="Y68" s="41"/>
      <c r="AB68" s="32"/>
      <c r="AE68" s="32"/>
      <c r="AF68" s="45"/>
    </row>
    <row r="69" spans="11:32" ht="12" customHeight="1" x14ac:dyDescent="0.2">
      <c r="K69" s="32"/>
      <c r="L69" s="32"/>
      <c r="R69" s="32"/>
      <c r="W69" s="32"/>
      <c r="Y69" s="41"/>
      <c r="AB69" s="32"/>
      <c r="AE69" s="41"/>
      <c r="AF69" s="45"/>
    </row>
    <row r="70" spans="11:32" ht="12" customHeight="1" x14ac:dyDescent="0.2">
      <c r="R70" s="32"/>
      <c r="W70" s="32"/>
      <c r="Y70" s="41"/>
      <c r="AB70" s="32"/>
      <c r="AE70" s="32"/>
      <c r="AF70" s="45"/>
    </row>
    <row r="71" spans="11:32" ht="12" customHeight="1" x14ac:dyDescent="0.2">
      <c r="K71" s="32"/>
      <c r="L71" s="32"/>
      <c r="R71" s="32"/>
      <c r="W71" s="32"/>
      <c r="Y71" s="41"/>
      <c r="AB71" s="32"/>
      <c r="AE71" s="41"/>
      <c r="AF71" s="45"/>
    </row>
    <row r="72" spans="11:32" ht="12" customHeight="1" x14ac:dyDescent="0.2">
      <c r="R72" s="32"/>
      <c r="W72" s="32"/>
      <c r="Y72" s="41"/>
      <c r="AB72" s="32"/>
      <c r="AE72" s="32"/>
      <c r="AF72" s="45"/>
    </row>
    <row r="73" spans="11:32" ht="12" customHeight="1" x14ac:dyDescent="0.2">
      <c r="K73" s="32"/>
      <c r="L73" s="32"/>
      <c r="R73" s="32"/>
      <c r="W73" s="32"/>
      <c r="Y73" s="41"/>
      <c r="AB73" s="32"/>
      <c r="AE73" s="41"/>
      <c r="AF73" s="45"/>
    </row>
    <row r="74" spans="11:32" ht="12" customHeight="1" x14ac:dyDescent="0.2">
      <c r="R74" s="32"/>
      <c r="W74" s="32"/>
      <c r="Y74" s="41"/>
      <c r="AB74" s="32"/>
      <c r="AE74" s="32"/>
      <c r="AF74" s="45"/>
    </row>
    <row r="75" spans="11:32" ht="12" customHeight="1" x14ac:dyDescent="0.2">
      <c r="K75" s="32"/>
      <c r="L75" s="32"/>
      <c r="R75" s="32"/>
      <c r="W75" s="32"/>
      <c r="Y75" s="41"/>
      <c r="AB75" s="32"/>
      <c r="AE75" s="41"/>
      <c r="AF75" s="45"/>
    </row>
    <row r="76" spans="11:32" ht="12" customHeight="1" x14ac:dyDescent="0.2">
      <c r="R76" s="32"/>
      <c r="W76" s="32"/>
      <c r="Y76" s="41"/>
      <c r="AB76" s="32"/>
      <c r="AE76" s="32"/>
      <c r="AF76" s="45"/>
    </row>
    <row r="77" spans="11:32" ht="12" customHeight="1" x14ac:dyDescent="0.2">
      <c r="K77" s="32"/>
      <c r="L77" s="32"/>
      <c r="R77" s="32"/>
      <c r="W77" s="32"/>
      <c r="Y77" s="41"/>
      <c r="AB77" s="32"/>
      <c r="AE77" s="41"/>
      <c r="AF77" s="45"/>
    </row>
    <row r="78" spans="11:32" ht="12" customHeight="1" x14ac:dyDescent="0.2">
      <c r="W78" s="32"/>
      <c r="Y78" s="41"/>
      <c r="AB78" s="32"/>
      <c r="AE78" s="32"/>
      <c r="AF78" s="45"/>
    </row>
    <row r="79" spans="11:32" ht="12" customHeight="1" x14ac:dyDescent="0.2">
      <c r="K79" s="32"/>
      <c r="L79" s="32"/>
      <c r="W79" s="32"/>
      <c r="Y79" s="41"/>
      <c r="AE79" s="41"/>
      <c r="AF79" s="45"/>
    </row>
    <row r="80" spans="11:32" ht="12" customHeight="1" x14ac:dyDescent="0.2">
      <c r="W80" s="32"/>
      <c r="Y80" s="41"/>
      <c r="AE80" s="32"/>
      <c r="AF80" s="45"/>
    </row>
    <row r="81" spans="11:32" ht="12" customHeight="1" x14ac:dyDescent="0.2">
      <c r="K81" s="32"/>
      <c r="L81" s="32"/>
      <c r="W81" s="32"/>
      <c r="Y81" s="41"/>
      <c r="AE81" s="41"/>
      <c r="AF81" s="45"/>
    </row>
    <row r="82" spans="11:32" ht="12" customHeight="1" x14ac:dyDescent="0.2">
      <c r="W82" s="32"/>
      <c r="Y82" s="41"/>
      <c r="AE82" s="32"/>
      <c r="AF82" s="45"/>
    </row>
    <row r="83" spans="11:32" ht="12" customHeight="1" x14ac:dyDescent="0.2">
      <c r="K83" s="32"/>
      <c r="L83" s="32"/>
      <c r="W83" s="32"/>
      <c r="Y83" s="41"/>
      <c r="AE83" s="41"/>
      <c r="AF83" s="45"/>
    </row>
    <row r="84" spans="11:32" ht="12" customHeight="1" x14ac:dyDescent="0.2">
      <c r="W84" s="32"/>
      <c r="Y84" s="41"/>
      <c r="AE84" s="32"/>
      <c r="AF84" s="45"/>
    </row>
    <row r="85" spans="11:32" ht="12" customHeight="1" x14ac:dyDescent="0.2">
      <c r="K85" s="32"/>
      <c r="L85" s="32"/>
      <c r="W85" s="32"/>
      <c r="Y85" s="41"/>
      <c r="AE85" s="41"/>
      <c r="AF85" s="45"/>
    </row>
    <row r="87" spans="11:32" ht="12" customHeight="1" x14ac:dyDescent="0.2">
      <c r="K87" s="32"/>
      <c r="L87" s="32"/>
    </row>
  </sheetData>
  <conditionalFormatting sqref="AD46 AD48 AD50 AD52">
    <cfRule type="expression" dxfId="157" priority="1050">
      <formula>MOD(ROW(),2)=1</formula>
    </cfRule>
  </conditionalFormatting>
  <conditionalFormatting sqref="Y56">
    <cfRule type="expression" dxfId="156" priority="748">
      <formula>MOD(ROW(),2)=1</formula>
    </cfRule>
  </conditionalFormatting>
  <conditionalFormatting sqref="Y52">
    <cfRule type="expression" dxfId="155" priority="749">
      <formula>MOD(ROW(),2)=1</formula>
    </cfRule>
  </conditionalFormatting>
  <conditionalFormatting sqref="Y60">
    <cfRule type="expression" dxfId="154" priority="747">
      <formula>MOD(ROW(),2)=1</formula>
    </cfRule>
  </conditionalFormatting>
  <conditionalFormatting sqref="Y64">
    <cfRule type="expression" dxfId="153" priority="746">
      <formula>MOD(ROW(),2)=1</formula>
    </cfRule>
  </conditionalFormatting>
  <conditionalFormatting sqref="Y68">
    <cfRule type="expression" dxfId="152" priority="745">
      <formula>MOD(ROW(),2)=1</formula>
    </cfRule>
  </conditionalFormatting>
  <conditionalFormatting sqref="Y72">
    <cfRule type="expression" dxfId="151" priority="744">
      <formula>MOD(ROW(),2)=1</formula>
    </cfRule>
  </conditionalFormatting>
  <conditionalFormatting sqref="Y76">
    <cfRule type="expression" dxfId="150" priority="743">
      <formula>MOD(ROW(),2)=1</formula>
    </cfRule>
  </conditionalFormatting>
  <conditionalFormatting sqref="Y80">
    <cfRule type="expression" dxfId="149" priority="742">
      <formula>MOD(ROW(),2)=1</formula>
    </cfRule>
  </conditionalFormatting>
  <conditionalFormatting sqref="Y84">
    <cfRule type="expression" dxfId="148" priority="741">
      <formula>MOD(ROW(),2)=1</formula>
    </cfRule>
  </conditionalFormatting>
  <conditionalFormatting sqref="W56">
    <cfRule type="expression" dxfId="147" priority="439">
      <formula>MOD(ROW(),2)=1</formula>
    </cfRule>
  </conditionalFormatting>
  <conditionalFormatting sqref="W52">
    <cfRule type="expression" dxfId="146" priority="440">
      <formula>MOD(ROW(),2)=1</formula>
    </cfRule>
  </conditionalFormatting>
  <conditionalFormatting sqref="W60">
    <cfRule type="expression" dxfId="145" priority="438">
      <formula>MOD(ROW(),2)=1</formula>
    </cfRule>
  </conditionalFormatting>
  <conditionalFormatting sqref="W64">
    <cfRule type="expression" dxfId="144" priority="437">
      <formula>MOD(ROW(),2)=1</formula>
    </cfRule>
  </conditionalFormatting>
  <conditionalFormatting sqref="W68">
    <cfRule type="expression" dxfId="143" priority="436">
      <formula>MOD(ROW(),2)=1</formula>
    </cfRule>
  </conditionalFormatting>
  <conditionalFormatting sqref="W72">
    <cfRule type="expression" dxfId="142" priority="435">
      <formula>MOD(ROW(),2)=1</formula>
    </cfRule>
  </conditionalFormatting>
  <conditionalFormatting sqref="W76">
    <cfRule type="expression" dxfId="141" priority="434">
      <formula>MOD(ROW(),2)=1</formula>
    </cfRule>
  </conditionalFormatting>
  <conditionalFormatting sqref="W80">
    <cfRule type="expression" dxfId="140" priority="433">
      <formula>MOD(ROW(),2)=1</formula>
    </cfRule>
  </conditionalFormatting>
  <conditionalFormatting sqref="W84">
    <cfRule type="expression" dxfId="139" priority="432">
      <formula>MOD(ROW(),2)=1</formula>
    </cfRule>
  </conditionalFormatting>
  <conditionalFormatting sqref="U46">
    <cfRule type="expression" dxfId="138" priority="172">
      <formula>MOD(ROW(),2)=1</formula>
    </cfRule>
  </conditionalFormatting>
  <conditionalFormatting sqref="AC2 AC4 AC10 AC12 AC14 AC16 AC18 AC30 AC32 AC34 AC38 AG4 AG2 AG16 AG14 AG12 AG10 AG18 AG34 AG32 AG30 AG38">
    <cfRule type="expression" dxfId="137" priority="141">
      <formula>MOD(ROW(),2)=1</formula>
    </cfRule>
  </conditionalFormatting>
  <conditionalFormatting sqref="AD2 AD4">
    <cfRule type="expression" dxfId="136" priority="135">
      <formula>MOD(ROW(),2)=1</formula>
    </cfRule>
  </conditionalFormatting>
  <conditionalFormatting sqref="AD10 AD12 AD14 AD16">
    <cfRule type="expression" dxfId="135" priority="133">
      <formula>MOD(ROW(),2)=1</formula>
    </cfRule>
  </conditionalFormatting>
  <conditionalFormatting sqref="AD26 AD28">
    <cfRule type="expression" dxfId="134" priority="131">
      <formula>MOD(ROW(),2)=1</formula>
    </cfRule>
  </conditionalFormatting>
  <conditionalFormatting sqref="AD30 AD32 AD34 AD36">
    <cfRule type="expression" dxfId="133" priority="130">
      <formula>MOD(ROW(),2)=1</formula>
    </cfRule>
  </conditionalFormatting>
  <conditionalFormatting sqref="AD38">
    <cfRule type="expression" dxfId="132" priority="129">
      <formula>MOD(ROW(),2)=1</formula>
    </cfRule>
  </conditionalFormatting>
  <conditionalFormatting sqref="Y2">
    <cfRule type="expression" dxfId="131" priority="126">
      <formula>MOD(ROW(),2)=1</formula>
    </cfRule>
  </conditionalFormatting>
  <conditionalFormatting sqref="Y8">
    <cfRule type="expression" dxfId="130" priority="125">
      <formula>MOD(ROW(),2)=1</formula>
    </cfRule>
  </conditionalFormatting>
  <conditionalFormatting sqref="Y12">
    <cfRule type="expression" dxfId="129" priority="122">
      <formula>MOD(ROW(),2)=1</formula>
    </cfRule>
  </conditionalFormatting>
  <conditionalFormatting sqref="Y16">
    <cfRule type="expression" dxfId="128" priority="121">
      <formula>MOD(ROW(),2)=1</formula>
    </cfRule>
  </conditionalFormatting>
  <conditionalFormatting sqref="Y18">
    <cfRule type="expression" dxfId="127" priority="120">
      <formula>MOD(ROW(),2)=1</formula>
    </cfRule>
  </conditionalFormatting>
  <conditionalFormatting sqref="Y26">
    <cfRule type="expression" dxfId="126" priority="115">
      <formula>MOD(ROW(),2)=1</formula>
    </cfRule>
  </conditionalFormatting>
  <conditionalFormatting sqref="Y30">
    <cfRule type="expression" dxfId="125" priority="114">
      <formula>MOD(ROW(),2)=1</formula>
    </cfRule>
  </conditionalFormatting>
  <conditionalFormatting sqref="Y32">
    <cfRule type="expression" dxfId="124" priority="113">
      <formula>MOD(ROW(),2)=1</formula>
    </cfRule>
  </conditionalFormatting>
  <conditionalFormatting sqref="Y36">
    <cfRule type="expression" dxfId="123" priority="112">
      <formula>MOD(ROW(),2)=1</formula>
    </cfRule>
  </conditionalFormatting>
  <conditionalFormatting sqref="Y38">
    <cfRule type="expression" dxfId="122" priority="110">
      <formula>MOD(ROW(),2)=1</formula>
    </cfRule>
  </conditionalFormatting>
  <conditionalFormatting sqref="W2">
    <cfRule type="expression" dxfId="121" priority="105">
      <formula>MOD(ROW(),2)=1</formula>
    </cfRule>
  </conditionalFormatting>
  <conditionalFormatting sqref="W8">
    <cfRule type="expression" dxfId="120" priority="104">
      <formula>MOD(ROW(),2)=1</formula>
    </cfRule>
  </conditionalFormatting>
  <conditionalFormatting sqref="W12">
    <cfRule type="expression" dxfId="119" priority="101">
      <formula>MOD(ROW(),2)=1</formula>
    </cfRule>
  </conditionalFormatting>
  <conditionalFormatting sqref="W16">
    <cfRule type="expression" dxfId="118" priority="100">
      <formula>MOD(ROW(),2)=1</formula>
    </cfRule>
  </conditionalFormatting>
  <conditionalFormatting sqref="W18">
    <cfRule type="expression" dxfId="117" priority="99">
      <formula>MOD(ROW(),2)=1</formula>
    </cfRule>
  </conditionalFormatting>
  <conditionalFormatting sqref="W26">
    <cfRule type="expression" dxfId="116" priority="94">
      <formula>MOD(ROW(),2)=1</formula>
    </cfRule>
  </conditionalFormatting>
  <conditionalFormatting sqref="W30">
    <cfRule type="expression" dxfId="115" priority="93">
      <formula>MOD(ROW(),2)=1</formula>
    </cfRule>
  </conditionalFormatting>
  <conditionalFormatting sqref="W32">
    <cfRule type="expression" dxfId="114" priority="92">
      <formula>MOD(ROW(),2)=1</formula>
    </cfRule>
  </conditionalFormatting>
  <conditionalFormatting sqref="W36">
    <cfRule type="expression" dxfId="113" priority="91">
      <formula>MOD(ROW(),2)=1</formula>
    </cfRule>
  </conditionalFormatting>
  <conditionalFormatting sqref="W38">
    <cfRule type="expression" dxfId="112" priority="89">
      <formula>MOD(ROW(),2)=1</formula>
    </cfRule>
  </conditionalFormatting>
  <conditionalFormatting sqref="U2">
    <cfRule type="expression" dxfId="111" priority="83">
      <formula>MOD(ROW(),2)=1</formula>
    </cfRule>
  </conditionalFormatting>
  <conditionalFormatting sqref="U6 U8">
    <cfRule type="expression" dxfId="110" priority="82">
      <formula>MOD(ROW(),2)=1</formula>
    </cfRule>
  </conditionalFormatting>
  <conditionalFormatting sqref="U14 U16 U12">
    <cfRule type="expression" dxfId="109" priority="78">
      <formula>MOD(ROW(),2)=1</formula>
    </cfRule>
  </conditionalFormatting>
  <conditionalFormatting sqref="U18">
    <cfRule type="expression" dxfId="108" priority="77">
      <formula>MOD(ROW(),2)=1</formula>
    </cfRule>
  </conditionalFormatting>
  <conditionalFormatting sqref="U26 U28">
    <cfRule type="expression" dxfId="107" priority="73">
      <formula>MOD(ROW(),2)=1</formula>
    </cfRule>
  </conditionalFormatting>
  <conditionalFormatting sqref="U30">
    <cfRule type="expression" dxfId="106" priority="72">
      <formula>MOD(ROW(),2)=1</formula>
    </cfRule>
  </conditionalFormatting>
  <conditionalFormatting sqref="U32 U34">
    <cfRule type="expression" dxfId="105" priority="71">
      <formula>MOD(ROW(),2)=1</formula>
    </cfRule>
  </conditionalFormatting>
  <conditionalFormatting sqref="U38">
    <cfRule type="expression" dxfId="104" priority="69">
      <formula>MOD(ROW(),2)=1</formula>
    </cfRule>
  </conditionalFormatting>
  <conditionalFormatting sqref="W20">
    <cfRule type="expression" dxfId="103" priority="50">
      <formula>MOD(ROW(),2)=1</formula>
    </cfRule>
  </conditionalFormatting>
  <conditionalFormatting sqref="AC20 AG20">
    <cfRule type="expression" dxfId="102" priority="53">
      <formula>MOD(ROW(),2)=1</formula>
    </cfRule>
  </conditionalFormatting>
  <conditionalFormatting sqref="AD20">
    <cfRule type="expression" dxfId="101" priority="52">
      <formula>MOD(ROW(),2)=1</formula>
    </cfRule>
  </conditionalFormatting>
  <conditionalFormatting sqref="Y20">
    <cfRule type="expression" dxfId="100" priority="51">
      <formula>MOD(ROW(),2)=1</formula>
    </cfRule>
  </conditionalFormatting>
  <conditionalFormatting sqref="AC40 AC42 AC44 AG44 AG42 AG40">
    <cfRule type="expression" dxfId="99" priority="49">
      <formula>MOD(ROW(),2)=1</formula>
    </cfRule>
  </conditionalFormatting>
  <conditionalFormatting sqref="AD40 AD42 AD44">
    <cfRule type="expression" dxfId="98" priority="47">
      <formula>MOD(ROW(),2)=1</formula>
    </cfRule>
  </conditionalFormatting>
  <conditionalFormatting sqref="Y42">
    <cfRule type="expression" dxfId="97" priority="38">
      <formula>MOD(ROW(),2)=1</formula>
    </cfRule>
  </conditionalFormatting>
  <conditionalFormatting sqref="Y44">
    <cfRule type="expression" dxfId="96" priority="37">
      <formula>MOD(ROW(),2)=1</formula>
    </cfRule>
  </conditionalFormatting>
  <conditionalFormatting sqref="W42">
    <cfRule type="expression" dxfId="95" priority="28">
      <formula>MOD(ROW(),2)=1</formula>
    </cfRule>
  </conditionalFormatting>
  <conditionalFormatting sqref="W44">
    <cfRule type="expression" dxfId="94" priority="27">
      <formula>MOD(ROW(),2)=1</formula>
    </cfRule>
  </conditionalFormatting>
  <conditionalFormatting sqref="U20">
    <cfRule type="expression" dxfId="93" priority="19">
      <formula>MOD(ROW(),2)=1</formula>
    </cfRule>
  </conditionalFormatting>
  <conditionalFormatting sqref="U40">
    <cfRule type="expression" dxfId="92" priority="2">
      <formula>MOD(ROW(),2)=1</formula>
    </cfRule>
  </conditionalFormatting>
  <conditionalFormatting sqref="U42">
    <cfRule type="expression" dxfId="91" priority="1">
      <formula>MOD(ROW(),2)=1</formula>
    </cfRule>
  </conditionalFormatting>
  <pageMargins left="0.7" right="0.7" top="0.75" bottom="0.75" header="0.3" footer="0.3"/>
  <pageSetup orientation="portrait" horizontalDpi="4294967293" verticalDpi="4294967293"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61"/>
  <sheetViews>
    <sheetView workbookViewId="0"/>
  </sheetViews>
  <sheetFormatPr defaultRowHeight="15" x14ac:dyDescent="0.25"/>
  <cols>
    <col min="1" max="1" width="22.42578125" customWidth="1"/>
    <col min="2" max="2" width="11" bestFit="1" customWidth="1"/>
    <col min="3" max="3" width="9.140625" style="35"/>
  </cols>
  <sheetData>
    <row r="3" spans="1:4" x14ac:dyDescent="0.25">
      <c r="A3" t="str">
        <f>LLM!B3</f>
        <v>Fisher, J. S., &amp; Radvansky, G. A. (2019). Linear forgetting. Journal of Memory and Language, 108, 104035.</v>
      </c>
      <c r="B3">
        <f>LLM!AA3</f>
        <v>7257600</v>
      </c>
      <c r="C3" s="35">
        <f>B3/(60*60*24*365)</f>
        <v>0.23013698630136986</v>
      </c>
      <c r="D3" s="35">
        <f>LLM!AM3</f>
        <v>-0.15069728030683968</v>
      </c>
    </row>
    <row r="5" spans="1:4" x14ac:dyDescent="0.25">
      <c r="A5" t="str">
        <f>LLM!B5</f>
        <v>Fisher, J. S., &amp; Radvansky, G. A. (2019). Linear forgetting. Journal of Memory and Language, 108, 104035.</v>
      </c>
      <c r="B5">
        <f>LLM!AA5</f>
        <v>873600</v>
      </c>
      <c r="C5" s="35">
        <f>B5/(60*60*24*365)</f>
        <v>2.7701674277016742E-2</v>
      </c>
      <c r="D5" s="35">
        <f>LLM!AM5</f>
        <v>-7.0295685363808869E-2</v>
      </c>
    </row>
    <row r="7" spans="1:4" x14ac:dyDescent="0.25">
      <c r="A7" t="str">
        <f>LLM!B7</f>
        <v xml:space="preserve">Gehring, R. E., Toglia, M. P., &amp; Kimble, G. A. (1976). Recognition memory for words and pictures at short and long retention intervals. Memory &amp; Cognition, 4(3), 256-260.
</v>
      </c>
      <c r="B7">
        <f>LLM!AA7</f>
        <v>5270400</v>
      </c>
      <c r="C7" s="35">
        <f>B7/(60*60*24*365)</f>
        <v>0.16712328767123288</v>
      </c>
      <c r="D7" s="35">
        <f>LLM!AM7</f>
        <v>-0.15722364664076066</v>
      </c>
    </row>
    <row r="9" spans="1:4" x14ac:dyDescent="0.25">
      <c r="A9" t="str">
        <f>LLM!B9</f>
        <v xml:space="preserve">Gehring, R. E., Toglia, M. P., &amp; Kimble, G. A. (1976). Recognition memory for words and pictures at short and long retention intervals. Memory &amp; Cognition, 4(3), 256-260.
</v>
      </c>
      <c r="B9">
        <f>LLM!AA9</f>
        <v>5270400</v>
      </c>
      <c r="C9" s="35">
        <f>B9/(60*60*24*365)</f>
        <v>0.16712328767123288</v>
      </c>
      <c r="D9" s="35">
        <f>LLM!AM9</f>
        <v>-0.14616358275273308</v>
      </c>
    </row>
    <row r="11" spans="1:4" x14ac:dyDescent="0.25">
      <c r="A11" t="str">
        <f>LLM!B11</f>
        <v>Nunoi, M., &amp; Yoshikawa, S. (2016). Deep processing makes stimuli more preferable over long durations. Journal of Cognitive Psychology, 28(6), 756-763.</v>
      </c>
      <c r="B11">
        <f>LLM!AA11</f>
        <v>3628800</v>
      </c>
      <c r="C11" s="35">
        <f>B11/(60*60*24*365)</f>
        <v>0.11506849315068493</v>
      </c>
      <c r="D11" s="35">
        <f>LLM!AM11</f>
        <v>-1.1639941262594255E-2</v>
      </c>
    </row>
    <row r="13" spans="1:4" x14ac:dyDescent="0.25">
      <c r="A13" t="str">
        <f>LLM!B13</f>
        <v>Nunoi, M., &amp; Yoshikawa, S. (2016). Deep processing makes stimuli more preferable over long durations. Journal of Cognitive Psychology, 28(6), 756-763.</v>
      </c>
      <c r="B13">
        <f>LLM!AA13</f>
        <v>3628800</v>
      </c>
      <c r="C13" s="35">
        <f>B13/(60*60*24*365)</f>
        <v>0.11506849315068493</v>
      </c>
      <c r="D13" s="35">
        <f>LLM!AM13</f>
        <v>-7.3519163835050028E-2</v>
      </c>
    </row>
    <row r="15" spans="1:4" x14ac:dyDescent="0.25">
      <c r="A15" t="str">
        <f>LLM!B15</f>
        <v>Nunoi, M., &amp; Yoshikawa, S. (2016). Deep processing makes stimuli more preferable over long durations. Journal of Cognitive Psychology, 28(6), 756-763.</v>
      </c>
      <c r="B15">
        <f>LLM!AA15</f>
        <v>3628800</v>
      </c>
      <c r="C15" s="35">
        <f>B15/(60*60*24*365)</f>
        <v>0.11506849315068493</v>
      </c>
      <c r="D15" s="35">
        <f>LLM!AM15</f>
        <v>-4.8192523586078895E-2</v>
      </c>
    </row>
    <row r="17" spans="1:8" x14ac:dyDescent="0.25">
      <c r="A17" t="str">
        <f>LLM!B17</f>
        <v>Nunoi, M., &amp; Yoshikawa, S. (2016). Deep processing makes stimuli more preferable over long durations. Journal of Cognitive Psychology, 28(6), 756-763.</v>
      </c>
      <c r="B17">
        <f>LLM!AA17</f>
        <v>3628800</v>
      </c>
      <c r="C17" s="35">
        <f>B17/(60*60*24*365)</f>
        <v>0.11506849315068493</v>
      </c>
      <c r="D17" s="35">
        <f>LLM!AM17</f>
        <v>-0.17559401246769624</v>
      </c>
    </row>
    <row r="18" spans="1:8" x14ac:dyDescent="0.25">
      <c r="G18" s="67">
        <f>AVERAGE(D2:D45)</f>
        <v>-0.13179603198055378</v>
      </c>
      <c r="H18" s="66">
        <f xml:space="preserve"> STDEV(D2:D45)/SQRT(COUNT(D2:D45))</f>
        <v>1.879932534848576E-2</v>
      </c>
    </row>
    <row r="19" spans="1:8" x14ac:dyDescent="0.25">
      <c r="A19" t="str">
        <f>LLM!B19</f>
        <v>Radvansky, G., O’Rear, A., &amp; Fisher, A. (2017). Event models and the fan effect. Memory &amp; Cognition, 45(6), 1028-1044.</v>
      </c>
      <c r="B19">
        <f>LLM!AA19</f>
        <v>1209600</v>
      </c>
      <c r="C19" s="35">
        <f>B19/(60*60*24*365)</f>
        <v>3.8356164383561646E-2</v>
      </c>
      <c r="D19" s="35">
        <f>LLM!AM19</f>
        <v>-2.0707266774658013E-2</v>
      </c>
    </row>
    <row r="21" spans="1:8" x14ac:dyDescent="0.25">
      <c r="A21" t="str">
        <f>LLM!B21</f>
        <v xml:space="preserve">Seamon, J. G., Luo, C. R., Kopecky, J. J., Price, C. A., Rothschild, L., Fung, N. S., &amp; Schwartz, M. A. (2002). Are false memories more difficult to forget than accurate memories? The effect of retention interval on recall and recognition. Memory and Cognition, 30(7), 1054-1064.
</v>
      </c>
      <c r="B21">
        <f>LLM!AA21</f>
        <v>5270400</v>
      </c>
      <c r="C21" s="35">
        <f>B21/(60*60*24*365)</f>
        <v>0.16712328767123288</v>
      </c>
      <c r="D21" s="35">
        <f>LLM!AM21</f>
        <v>-0.11509432096161484</v>
      </c>
    </row>
    <row r="23" spans="1:8" x14ac:dyDescent="0.25">
      <c r="A23" t="str">
        <f>LLM!B23</f>
        <v>Siler, J., &amp; Benjamin, A. S. (2019). Long-term inference and memory following retrieval practice. Memory &amp; Cognition, 48, 645-654.</v>
      </c>
      <c r="B23">
        <f>LLM!AA23</f>
        <v>2160000</v>
      </c>
      <c r="C23" s="35">
        <f>B23/(60*60*24*365)</f>
        <v>6.8493150684931503E-2</v>
      </c>
      <c r="D23" s="35">
        <f>LLM!AM23</f>
        <v>-8.5151640058379441E-2</v>
      </c>
    </row>
    <row r="25" spans="1:8" x14ac:dyDescent="0.25">
      <c r="A25" t="str">
        <f>LLM!B25</f>
        <v>Siler, J., &amp; Benjamin, A. S. (2019). Long-term inference and memory following retrieval practice. Memory &amp; Cognition, 48, 645-654.</v>
      </c>
      <c r="B25">
        <f>LLM!AA25</f>
        <v>2160000</v>
      </c>
      <c r="C25" s="35">
        <f>B25/(60*60*24*365)</f>
        <v>6.8493150684931503E-2</v>
      </c>
      <c r="D25" s="35">
        <f>LLM!AM25</f>
        <v>-6.2977119613244162E-2</v>
      </c>
    </row>
    <row r="27" spans="1:8" x14ac:dyDescent="0.25">
      <c r="A27" t="str">
        <f>LLM!B27</f>
        <v>Smith, D. A., &amp; Graesser, A. C. (1981). Memory for actions in scripted activities as a function of typicality, retention interval, and retrieval task. Memory &amp; Cognition, 9(6), 550-559.</v>
      </c>
      <c r="B27">
        <f>LLM!AA27</f>
        <v>1814400</v>
      </c>
      <c r="C27" s="35">
        <f>B27/(60*60*24*365)</f>
        <v>5.7534246575342465E-2</v>
      </c>
      <c r="D27" s="35">
        <f>LLM!AM27</f>
        <v>-0.23339505230936583</v>
      </c>
    </row>
    <row r="29" spans="1:8" x14ac:dyDescent="0.25">
      <c r="A29" t="str">
        <f>LLM!B29</f>
        <v>Smith, D. A., &amp; Graesser, A. C. (1981). Memory for actions in scripted activities as a function of typicality, retention interval, and retrieval task. Memory &amp; Cognition, 9(6), 550-559.</v>
      </c>
      <c r="B29">
        <f>LLM!AA29</f>
        <v>1814400</v>
      </c>
      <c r="C29" s="35">
        <f>B29/(60*60*24*365)</f>
        <v>5.7534246575342465E-2</v>
      </c>
      <c r="D29" s="35">
        <f>LLM!AM29</f>
        <v>-0.13051652649325521</v>
      </c>
    </row>
    <row r="31" spans="1:8" x14ac:dyDescent="0.25">
      <c r="A31" t="str">
        <f>LLM!B31</f>
        <v>Strong, E. K., (1913). The effect of time-interval upon recognition memory. The Psychological Review, 20(5), 339-372.</v>
      </c>
      <c r="B31">
        <f>LLM!AA31</f>
        <v>3628800</v>
      </c>
      <c r="C31" s="35">
        <f>B31/(60*60*24*365)</f>
        <v>0.11506849315068493</v>
      </c>
      <c r="D31" s="35">
        <f>LLM!AM31</f>
        <v>-0.17446648100447038</v>
      </c>
    </row>
    <row r="33" spans="1:4" x14ac:dyDescent="0.25">
      <c r="A33" t="str">
        <f>LLM!B33</f>
        <v xml:space="preserve">Takashima, A., Petersson, K. M., Rutters, F., Tendolkar, I., Jensen, O., Zwarts, M. J., McNaughton, B.L., &amp; Fernandez, G. (2006). Declarative memory consolidation in humans: A prospective functional magnetic resonance imaging study. Proceedings of the National Academy of Sciences of the United States of America, 103(3), 756-761.
</v>
      </c>
      <c r="B33">
        <f>LLM!AA33</f>
        <v>7776000</v>
      </c>
      <c r="C33" s="35">
        <f>B33/(60*60*24*365)</f>
        <v>0.24657534246575341</v>
      </c>
      <c r="D33" s="35">
        <f>LLM!AM33</f>
        <v>-0.22999800949898919</v>
      </c>
    </row>
    <row r="35" spans="1:4" x14ac:dyDescent="0.25">
      <c r="A35" t="str">
        <f>LLM!B35</f>
        <v xml:space="preserve">Takashima, A., Petersson, K. M., Rutters, F., Tendolkar, I., Jensen, O., Zwarts, M. J., McNaughton, B.L., &amp; Fernandez, G. (2006). Declarative memory consolidation in humans: A prospective functional magnetic resonance imaging study. Proceedings of the National Academy of Sciences of the United States of America, 103(3), 756-761.
</v>
      </c>
      <c r="B35">
        <f>LLM!AA35</f>
        <v>7776000</v>
      </c>
      <c r="C35" s="35">
        <f>B35/(60*60*24*365)</f>
        <v>0.24657534246575341</v>
      </c>
      <c r="D35" s="35">
        <f>LLM!AM35</f>
        <v>-1.9484243959720874E-2</v>
      </c>
    </row>
    <row r="37" spans="1:4" x14ac:dyDescent="0.25">
      <c r="A37" t="str">
        <f>LLM!B37</f>
        <v>Talamini, L. M., &amp; Gorree, E. (2012). Aging memories: Differential decay of episodic memory components. Learning &amp; Memory, 19(6), 239-246.</v>
      </c>
      <c r="B37">
        <f>LLM!AA37</f>
        <v>7862400</v>
      </c>
      <c r="C37" s="35">
        <f>B37/(60*60*24*365)</f>
        <v>0.24931506849315069</v>
      </c>
      <c r="D37" s="35">
        <f>LLM!AM37</f>
        <v>-0.10598219026252227</v>
      </c>
    </row>
    <row r="39" spans="1:4" x14ac:dyDescent="0.25">
      <c r="A39" t="str">
        <f>LLM!B39</f>
        <v>Tunney, &amp; Bezzina. (2007). Effects of retention intervals on receiver operating characteristics in artificial grammar learning. Acta Psychologica, 125(1), 37-50.</v>
      </c>
      <c r="B39">
        <f>LLM!AA39</f>
        <v>1209600</v>
      </c>
      <c r="C39" s="35">
        <f>B39/(60*60*24*365)</f>
        <v>3.8356164383561646E-2</v>
      </c>
      <c r="D39" s="35">
        <f>LLM!AM39</f>
        <v>-5.1203070795816458E-2</v>
      </c>
    </row>
    <row r="40" spans="1:4" x14ac:dyDescent="0.25">
      <c r="D40" s="35"/>
    </row>
    <row r="41" spans="1:4" x14ac:dyDescent="0.25">
      <c r="A41" t="str">
        <f>LLM!B41</f>
        <v xml:space="preserve">Wickelgren, W. (1972). Trace resistance and the decay of long-term memory. Journal of Mathematical Psychology, 9(4), 418-455.
</v>
      </c>
      <c r="B41">
        <f>LLM!AA41</f>
        <v>66528000</v>
      </c>
      <c r="C41" s="35">
        <f>B41/(60*60*24*365)</f>
        <v>2.1095890410958904</v>
      </c>
      <c r="D41" s="35">
        <f>LLM!AM41</f>
        <v>-0.33027216480459509</v>
      </c>
    </row>
    <row r="42" spans="1:4" x14ac:dyDescent="0.25">
      <c r="D42" s="35"/>
    </row>
    <row r="43" spans="1:4" x14ac:dyDescent="0.25">
      <c r="A43" t="str">
        <f>LLM!B43</f>
        <v xml:space="preserve">Wickelgren, W. (1972). Trace resistance and the decay of long-term memory. Journal of Mathematical Psychology, 9(4), 418-455.
</v>
      </c>
      <c r="B43">
        <f>LLM!AA43</f>
        <v>66528000</v>
      </c>
      <c r="C43" s="35">
        <f>B43/(60*60*24*365)</f>
        <v>2.1095890410958904</v>
      </c>
      <c r="D43" s="35">
        <f>LLM!AM43</f>
        <v>-0.22657487568664167</v>
      </c>
    </row>
    <row r="45" spans="1:4" x14ac:dyDescent="0.25">
      <c r="A45" t="str">
        <f>LLM!B45</f>
        <v>Wickelgren, W. (1975). Alcoholic intoxication and memory storage dynamics. Memory &amp; Cognition, 3(4), 385-9.</v>
      </c>
      <c r="B45">
        <f>LLM!AA45</f>
        <v>1209600</v>
      </c>
      <c r="C45" s="35">
        <f>B45/(60*60*24*365)</f>
        <v>3.8356164383561646E-2</v>
      </c>
      <c r="D45" s="35">
        <f>LLM!AM45</f>
        <v>-0.28036390513334736</v>
      </c>
    </row>
    <row r="47" spans="1:4" x14ac:dyDescent="0.25">
      <c r="D47" s="35"/>
    </row>
    <row r="49" spans="4:4" x14ac:dyDescent="0.25">
      <c r="D49" s="35"/>
    </row>
    <row r="51" spans="4:4" x14ac:dyDescent="0.25">
      <c r="D51" s="35"/>
    </row>
    <row r="53" spans="4:4" x14ac:dyDescent="0.25">
      <c r="D53" s="35"/>
    </row>
    <row r="55" spans="4:4" x14ac:dyDescent="0.25">
      <c r="D55" s="35"/>
    </row>
    <row r="57" spans="4:4" x14ac:dyDescent="0.25">
      <c r="D57" s="35"/>
    </row>
    <row r="59" spans="4:4" x14ac:dyDescent="0.25">
      <c r="D59" s="35"/>
    </row>
    <row r="61" spans="4:4" x14ac:dyDescent="0.25">
      <c r="D61" s="35"/>
    </row>
  </sheetData>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67"/>
  <sheetViews>
    <sheetView workbookViewId="0">
      <pane ySplit="1" topLeftCell="A2" activePane="bottomLeft" state="frozen"/>
      <selection activeCell="K1" sqref="K1"/>
      <selection pane="bottomLeft"/>
    </sheetView>
  </sheetViews>
  <sheetFormatPr defaultColWidth="5.28515625" defaultRowHeight="12" customHeight="1" outlineLevelCol="1" x14ac:dyDescent="0.2"/>
  <cols>
    <col min="1" max="1" width="11.28515625" style="33" bestFit="1" customWidth="1"/>
    <col min="2" max="2" width="9.7109375" style="10" customWidth="1"/>
    <col min="3" max="3" width="17.85546875" style="10" customWidth="1"/>
    <col min="4" max="4" width="6.85546875" style="36" customWidth="1"/>
    <col min="5" max="5" width="4.28515625" style="42" customWidth="1"/>
    <col min="6" max="6" width="10.28515625" style="36" bestFit="1" customWidth="1"/>
    <col min="7" max="7" width="9.28515625" style="36" customWidth="1"/>
    <col min="8" max="8" width="14.85546875" style="36" bestFit="1" customWidth="1"/>
    <col min="9" max="9" width="30.5703125" style="36" customWidth="1"/>
    <col min="10" max="10" width="17.5703125" style="36" customWidth="1"/>
    <col min="11" max="11" width="9.5703125" style="36" customWidth="1"/>
    <col min="12" max="13" width="9.7109375" style="36" customWidth="1"/>
    <col min="14" max="14" width="13.85546875" style="36" customWidth="1"/>
    <col min="15" max="15" width="8.7109375" style="36" customWidth="1"/>
    <col min="16" max="16" width="22.7109375" style="36" customWidth="1"/>
    <col min="17" max="17" width="18.28515625" style="36" bestFit="1" customWidth="1"/>
    <col min="18" max="18" width="8.7109375" style="36" customWidth="1"/>
    <col min="19" max="19" width="11.42578125" style="36" customWidth="1"/>
    <col min="20" max="20" width="12.7109375" style="36" customWidth="1"/>
    <col min="21" max="22" width="10.42578125" style="36" customWidth="1"/>
    <col min="23" max="23" width="11.85546875" style="36" customWidth="1"/>
    <col min="24" max="24" width="8.140625" style="36" customWidth="1"/>
    <col min="25" max="25" width="10" style="42" customWidth="1"/>
    <col min="26" max="26" width="15.42578125" style="36" customWidth="1"/>
    <col min="27" max="27" width="11" style="36" customWidth="1"/>
    <col min="28" max="28" width="16.42578125" style="36" customWidth="1"/>
    <col min="29" max="29" width="13.5703125" style="36" customWidth="1"/>
    <col min="30" max="30" width="13.140625" style="36" customWidth="1"/>
    <col min="31" max="31" width="11" style="36" customWidth="1"/>
    <col min="32" max="32" width="12.5703125" style="46" customWidth="1"/>
    <col min="33" max="33" width="10.140625" style="29" customWidth="1"/>
    <col min="34" max="34" width="10.7109375" style="8" customWidth="1"/>
    <col min="35" max="35" width="10.7109375" style="29" customWidth="1"/>
    <col min="36" max="36" width="10.7109375" style="54" customWidth="1"/>
    <col min="37" max="40" width="10.7109375" style="29" customWidth="1"/>
    <col min="41" max="43" width="10.7109375" style="29" customWidth="1" outlineLevel="1"/>
    <col min="44" max="44" width="16.85546875" style="54" customWidth="1" outlineLevel="1"/>
    <col min="45" max="46" width="16.85546875" style="29" customWidth="1" outlineLevel="1"/>
    <col min="47" max="47" width="5.28515625" style="8" outlineLevel="1"/>
    <col min="48" max="50" width="13.42578125" style="23" bestFit="1" customWidth="1" outlineLevel="1"/>
    <col min="51" max="51" width="14.85546875" style="23" bestFit="1" customWidth="1" outlineLevel="1"/>
    <col min="52" max="53" width="14.5703125" style="23" bestFit="1" customWidth="1"/>
    <col min="54" max="54" width="13.5703125" style="23" bestFit="1" customWidth="1"/>
    <col min="55" max="57" width="13.5703125" style="16" bestFit="1" customWidth="1"/>
    <col min="58" max="62" width="12.42578125" style="16" bestFit="1" customWidth="1"/>
    <col min="63" max="74" width="10.42578125" style="16" bestFit="1" customWidth="1"/>
    <col min="75" max="95" width="11.42578125" style="16" bestFit="1" customWidth="1"/>
    <col min="96" max="99" width="12.42578125" style="10" bestFit="1" customWidth="1"/>
    <col min="100" max="133" width="10.42578125" style="10" bestFit="1" customWidth="1"/>
    <col min="134" max="16384" width="5.28515625" style="10"/>
  </cols>
  <sheetData>
    <row r="1" spans="1:99" ht="12" customHeight="1" x14ac:dyDescent="0.2">
      <c r="A1" s="33" t="s">
        <v>81</v>
      </c>
      <c r="B1" s="11" t="s">
        <v>0</v>
      </c>
      <c r="C1" s="11" t="s">
        <v>1</v>
      </c>
      <c r="D1" s="31" t="s">
        <v>2</v>
      </c>
      <c r="E1" s="40" t="s">
        <v>131</v>
      </c>
      <c r="F1" s="31" t="s">
        <v>6</v>
      </c>
      <c r="G1" s="31" t="s">
        <v>110</v>
      </c>
      <c r="H1" s="31" t="s">
        <v>1</v>
      </c>
      <c r="I1" s="31" t="s">
        <v>8</v>
      </c>
      <c r="J1" s="31" t="s">
        <v>7</v>
      </c>
      <c r="K1" s="31" t="s">
        <v>127</v>
      </c>
      <c r="L1" s="31" t="s">
        <v>122</v>
      </c>
      <c r="M1" s="31" t="s">
        <v>125</v>
      </c>
      <c r="N1" s="31" t="s">
        <v>123</v>
      </c>
      <c r="O1" s="31" t="s">
        <v>5</v>
      </c>
      <c r="P1" s="31" t="s">
        <v>126</v>
      </c>
      <c r="Q1" s="31" t="s">
        <v>3</v>
      </c>
      <c r="R1" s="31" t="s">
        <v>124</v>
      </c>
      <c r="S1" s="31" t="s">
        <v>4</v>
      </c>
      <c r="T1" s="31" t="s">
        <v>68</v>
      </c>
      <c r="U1" s="31" t="s">
        <v>165</v>
      </c>
      <c r="V1" s="31" t="s">
        <v>120</v>
      </c>
      <c r="W1" s="31" t="s">
        <v>121</v>
      </c>
      <c r="X1" s="31" t="s">
        <v>128</v>
      </c>
      <c r="Y1" s="40" t="s">
        <v>117</v>
      </c>
      <c r="Z1" s="31" t="s">
        <v>129</v>
      </c>
      <c r="AA1" s="31" t="s">
        <v>87</v>
      </c>
      <c r="AB1" s="31" t="s">
        <v>85</v>
      </c>
      <c r="AC1" s="31" t="s">
        <v>86</v>
      </c>
      <c r="AD1" s="31" t="s">
        <v>130</v>
      </c>
      <c r="AE1" s="31" t="s">
        <v>118</v>
      </c>
      <c r="AF1" s="44" t="s">
        <v>119</v>
      </c>
      <c r="AG1" s="27" t="s">
        <v>114</v>
      </c>
      <c r="AH1" s="4"/>
      <c r="AI1" s="58" t="s">
        <v>76</v>
      </c>
      <c r="AJ1" s="52" t="s">
        <v>74</v>
      </c>
      <c r="AK1" s="27" t="s">
        <v>9</v>
      </c>
      <c r="AL1" s="58" t="s">
        <v>77</v>
      </c>
      <c r="AM1" s="27" t="s">
        <v>10</v>
      </c>
      <c r="AN1" s="27" t="s">
        <v>11</v>
      </c>
      <c r="AO1" s="58" t="s">
        <v>162</v>
      </c>
      <c r="AP1" s="27" t="s">
        <v>80</v>
      </c>
      <c r="AQ1" s="58" t="s">
        <v>163</v>
      </c>
      <c r="AR1" s="52" t="s">
        <v>78</v>
      </c>
      <c r="AS1" s="58" t="s">
        <v>164</v>
      </c>
      <c r="AT1" s="27" t="s">
        <v>79</v>
      </c>
      <c r="AU1" s="4"/>
      <c r="AV1" s="7" t="s">
        <v>75</v>
      </c>
      <c r="AW1" s="7"/>
      <c r="AX1" s="7"/>
      <c r="AY1" s="7"/>
      <c r="AZ1" s="7"/>
      <c r="BA1" s="7"/>
      <c r="BB1" s="7"/>
      <c r="BC1" s="6"/>
      <c r="BD1" s="6"/>
      <c r="BE1" s="6"/>
      <c r="BF1" s="6"/>
      <c r="BG1" s="6"/>
      <c r="BH1" s="6"/>
      <c r="BI1" s="6"/>
      <c r="BJ1" s="6"/>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11"/>
      <c r="CS1" s="11"/>
      <c r="CT1" s="11"/>
      <c r="CU1" s="11"/>
    </row>
    <row r="2" spans="1:99" s="9" customFormat="1" ht="12" customHeight="1" x14ac:dyDescent="0.2">
      <c r="A2" s="37">
        <v>43509</v>
      </c>
      <c r="B2" s="1"/>
      <c r="C2" s="1"/>
      <c r="D2" s="32"/>
      <c r="E2" s="41"/>
      <c r="F2" s="32"/>
      <c r="G2" s="32"/>
      <c r="H2" s="32"/>
      <c r="I2" s="32"/>
      <c r="J2" s="32"/>
      <c r="K2" s="36"/>
      <c r="L2" s="36"/>
      <c r="M2" s="32"/>
      <c r="N2" s="32"/>
      <c r="O2" s="32"/>
      <c r="P2" s="32"/>
      <c r="Q2" s="32"/>
      <c r="R2" s="32"/>
      <c r="S2" s="32"/>
      <c r="T2" s="32"/>
      <c r="U2" s="32"/>
      <c r="V2" s="32"/>
      <c r="W2" s="32"/>
      <c r="X2" s="32"/>
      <c r="Y2" s="41"/>
      <c r="Z2" s="32"/>
      <c r="AA2" s="32"/>
      <c r="AB2" s="32"/>
      <c r="AC2" s="28"/>
      <c r="AD2" s="32"/>
      <c r="AE2" s="32"/>
      <c r="AF2" s="45"/>
      <c r="AG2" s="28"/>
      <c r="AH2" s="4"/>
      <c r="AI2" s="28"/>
      <c r="AJ2" s="51"/>
      <c r="AK2" s="28"/>
      <c r="AL2" s="28"/>
      <c r="AM2" s="28"/>
      <c r="AN2" s="28"/>
      <c r="AO2" s="47"/>
      <c r="AP2" s="47"/>
      <c r="AQ2" s="48"/>
      <c r="AR2" s="56"/>
      <c r="AS2" s="49"/>
      <c r="AT2" s="49"/>
      <c r="AU2" s="3"/>
      <c r="AV2" s="18">
        <v>900</v>
      </c>
      <c r="AW2" s="18">
        <v>2592000</v>
      </c>
      <c r="AX2" s="18">
        <v>5270400</v>
      </c>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1"/>
      <c r="CS2" s="1"/>
      <c r="CT2" s="1"/>
      <c r="CU2" s="1"/>
    </row>
    <row r="3" spans="1:99" s="9" customFormat="1" ht="12" customHeight="1" x14ac:dyDescent="0.2">
      <c r="A3" s="37">
        <v>43509</v>
      </c>
      <c r="B3" s="17" t="s">
        <v>62</v>
      </c>
      <c r="C3" s="1" t="s">
        <v>34</v>
      </c>
      <c r="D3" s="32">
        <v>1976</v>
      </c>
      <c r="E3" s="41">
        <v>2</v>
      </c>
      <c r="F3" s="32">
        <v>100</v>
      </c>
      <c r="G3" s="32">
        <v>33.299999999999997</v>
      </c>
      <c r="H3" s="32" t="s">
        <v>22</v>
      </c>
      <c r="I3" s="32" t="s">
        <v>12</v>
      </c>
      <c r="J3" s="32" t="s">
        <v>12</v>
      </c>
      <c r="K3" s="32">
        <f>IF(J3="syllables",1,IF(J3="trigrams",2,IF(J3="strings",3,IF(J3="visual array",4,IF(J3="characters",5,IF(J3="letters",6,IF(J3="free forms",7,IF(J3="odors",8,IF(J3="words",9,IF(J3="pictures",10,IF(J3="object pictures",11,IF(J3="faces",12,IF(J3="names",13,IF(J3="idioms",14,IF(J3="grades",15,IF(J3="syllable-digit pairs",16,IF(J3="trigram-word pairs",17,IF(J3="word-digit pairs",18,IF(J3="English-Swahili pairs",19,IF(J3="spatial position",20,IF(J3="word pairs",21,IF(J3="word triads",22,IF(J3="generated words",23,IF(J3="word definition pairs",24,IF(J3="math problems",25,IF(J3="famous faces",26,IF(J3="famous names",27,IF(J3="famous voices",28,IF(J3="television programs",29,IF(J3="race horses",30,IF(J3="new vocabulary",31,IF(J3="sentences",32,IF(J3="concepts",33,IF(J3="ad slides",34,IF(J3="scenes",35,IF(J3="famous scenes",36,IF(J3="poems",37,IF(J3="walk",38,IF(J3="faces and events",39,IF(J3="events and names",40,IF(J3="flashbulb",41,IF(J3="stories",42,IF(J3="course material",43,IF(J3="autobiographical",44,IF(J3="novels",45,IF(J3="public events",46,"99"))))))))))))))))))))))))))))))))))))))))))))))</f>
        <v>9</v>
      </c>
      <c r="L3" s="32">
        <f>IF(J3="syllables",1,IF(J3="trigrams",1,IF(J3="strings",1,IF(J3="visual array",1,IF(J3="characters",1,IF(J3="letters",1,IF(J3="free forms",1,IF(J3="odors",2,IF(J3="words",2,IF(J3="pictures",2,IF(J3="object pictures",2,IF(J3="faces",2,IF(J3="names",2,IF(J3="idioms","2",IF(J3="grades",2,IF(J3="syllable-digit pairs",3,IF(J3="trigram-word pairs",3,IF(J3="word-digit pairs",3,IF(J3="English-Swahili pairs",3,IF(J3="spatial position",3,IF(J3="word pairs",4,IF(J3="word triads",4,IF(J3="generated words",4,IF(J3="word definition pairs",4,IF(J3="math problems",4,IF(J3="famous faces",4,IF(J3="famous names",4,IF(J3="famous voices",4,IF(J3="television programs",4,IF(J3="race horses",4,IF(J3="new vocabulary",4,IF(J3="sentences",5,IF(J3="concepts",5,IF(J3="ad slides",5,IF(J3="scenes",5,IF(J3="famous scenes",5,IF(J3="poems",6,IF(J3="walk",6,IF(J3="faces and events",6,IF(J3="events and names",6,IF(J3="flashbulb",7,IF(J3="stories",7,IF(J3="course material",7,IF(J3="autobiographical",7,IF(J3="novels",7,IF(J3="public events",7,"99"))))))))))))))))))))))))))))))))))))))))))))))</f>
        <v>2</v>
      </c>
      <c r="M3" s="32">
        <v>0</v>
      </c>
      <c r="N3" s="32">
        <v>1</v>
      </c>
      <c r="O3" s="32">
        <v>0</v>
      </c>
      <c r="P3" s="32"/>
      <c r="Q3" s="32" t="s">
        <v>18</v>
      </c>
      <c r="R3" s="32">
        <f>IF(Q3="Free Recall",1,IF(Q3="Cued Recall",2,IF(Q3="Recognition",3,IF(Q3="Multiple Choice",4,IF(Q3="Savings",5,IF(Q3="Stem Completion",6,IF(Q3="Fragment Completion",7,IF(Q3="anagram solution",8,IF(Q3="Matching",9,IF(Q3="Problem Solving",10,"99"))))))))))</f>
        <v>3</v>
      </c>
      <c r="S3" s="77" t="s">
        <v>196</v>
      </c>
      <c r="T3" s="32" t="s">
        <v>72</v>
      </c>
      <c r="U3" s="32">
        <f>IF(T3="within",1,0)</f>
        <v>0</v>
      </c>
      <c r="V3" s="32">
        <v>70</v>
      </c>
      <c r="W3" s="32">
        <f>F3*V3</f>
        <v>7000</v>
      </c>
      <c r="X3" s="32">
        <v>3</v>
      </c>
      <c r="Y3" s="41">
        <f>AV2</f>
        <v>900</v>
      </c>
      <c r="Z3" s="32" t="s">
        <v>64</v>
      </c>
      <c r="AA3" s="32">
        <v>5270400</v>
      </c>
      <c r="AB3" s="32" t="str">
        <f>IF(AA3&lt;60,"1",IF(AA3&lt;=43200,"2",IF(AA3&lt;=777600,"3","4")))</f>
        <v>4</v>
      </c>
      <c r="AC3" s="28">
        <f>AVERAGE(AV2:DA2)</f>
        <v>2621100</v>
      </c>
      <c r="AD3" s="32" t="str">
        <f>IF(AC3&lt;60,"1",IF(AC3&lt;=43200,"2",IF(AC3&lt;=777600,"3","4")))</f>
        <v>4</v>
      </c>
      <c r="AE3" s="41">
        <f>AA3-Y3</f>
        <v>5269500</v>
      </c>
      <c r="AF3" s="45">
        <f>AV3</f>
        <v>1.4322534287620328</v>
      </c>
      <c r="AG3" s="28">
        <f>((AW3-AV3)+(AX3-AW3))/2</f>
        <v>-0.55503302672009991</v>
      </c>
      <c r="AH3" s="4"/>
      <c r="AI3" s="28">
        <f>RSQ(AV3:AX3,AV2:AX2)</f>
        <v>0.84929009686478907</v>
      </c>
      <c r="AJ3" s="51">
        <f>SLOPE(AV3:AX3,AV2:AX2)</f>
        <v>-2.0981331056696528E-7</v>
      </c>
      <c r="AK3" s="28">
        <f>INTERCEPT(AV3:AX3,AV2:AX2)</f>
        <v>1.2957667483606448</v>
      </c>
      <c r="AL3" s="28">
        <f>INDEX(LINEST(LN(AV3:AX3),LN(AV2:AX2),TRUE,TRUE),3,1)</f>
        <v>0.96364959138144302</v>
      </c>
      <c r="AM3" s="28">
        <f>INDEX(LINEST(LN(AV3:AX3),LN(AV2:AX2)),1)</f>
        <v>-0.15722364664076066</v>
      </c>
      <c r="AN3" s="28">
        <f>EXP(INDEX(LINEST(LN(AV3:AX3),LN(AV2:AX2)),1,2))</f>
        <v>4.2260085202060944</v>
      </c>
      <c r="AO3" s="47">
        <f>INDEX(LINEST((AV3:AX3),LN(AV2:AX2),TRUE,TRUE),3,1)</f>
        <v>0.99631538915476359</v>
      </c>
      <c r="AP3" s="47">
        <f>INDEX(LINEST((AV3:AX3),LN(AV2:AX2)),1)</f>
        <v>-0.12430779968915981</v>
      </c>
      <c r="AQ3" s="48">
        <f>INDEX(LINEST(LN(AV3:AX3),SQRT(AV2:AX2),TRUE,TRUE),3,1)</f>
        <v>0.99884445148971091</v>
      </c>
      <c r="AR3" s="56">
        <f>INDEX(LINEST(LN(AV3:AX3),SQRT((AV2:AX2))),1)</f>
        <v>-6.6359193379369628E-4</v>
      </c>
      <c r="AS3" s="49">
        <f>INDEX(LINEST(1/(AV3:AX3),1/(SQRT(AV2:AX2)),TRUE,TRUE),3,1)</f>
        <v>0.82039433918448612</v>
      </c>
      <c r="AT3" s="49">
        <f>INDEX(LINEST(1/(AV3:AX3),1/SQRT(AV2:AX2)),1)</f>
        <v>-57.709333043883476</v>
      </c>
      <c r="AU3" s="3"/>
      <c r="AV3" s="25">
        <v>1.4322534287620328</v>
      </c>
      <c r="AW3" s="25">
        <v>0.48303443601685003</v>
      </c>
      <c r="AX3" s="25">
        <v>0.322187375321833</v>
      </c>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1"/>
      <c r="CS3" s="1"/>
      <c r="CT3" s="1"/>
      <c r="CU3" s="1"/>
    </row>
    <row r="4" spans="1:99" s="9" customFormat="1" ht="12" customHeight="1" x14ac:dyDescent="0.2">
      <c r="A4" s="37">
        <v>43509</v>
      </c>
      <c r="B4" s="1"/>
      <c r="C4" s="1"/>
      <c r="D4" s="32"/>
      <c r="E4" s="41"/>
      <c r="F4" s="32"/>
      <c r="G4" s="32"/>
      <c r="H4" s="32"/>
      <c r="I4" s="32"/>
      <c r="J4" s="32"/>
      <c r="K4" s="36"/>
      <c r="L4" s="36"/>
      <c r="M4" s="32"/>
      <c r="N4" s="32"/>
      <c r="O4" s="32"/>
      <c r="P4" s="32"/>
      <c r="Q4" s="32"/>
      <c r="R4" s="32"/>
      <c r="S4" s="77"/>
      <c r="T4" s="32"/>
      <c r="U4" s="32"/>
      <c r="V4" s="32"/>
      <c r="W4" s="32"/>
      <c r="X4" s="32"/>
      <c r="Y4" s="41"/>
      <c r="Z4" s="32"/>
      <c r="AA4" s="32"/>
      <c r="AB4" s="32"/>
      <c r="AC4" s="28"/>
      <c r="AD4" s="32"/>
      <c r="AE4" s="32"/>
      <c r="AF4" s="45"/>
      <c r="AG4" s="28"/>
      <c r="AH4" s="4"/>
      <c r="AI4" s="28"/>
      <c r="AJ4" s="51"/>
      <c r="AK4" s="28"/>
      <c r="AL4" s="28"/>
      <c r="AM4" s="28"/>
      <c r="AN4" s="28"/>
      <c r="AO4" s="47"/>
      <c r="AP4" s="47"/>
      <c r="AQ4" s="48"/>
      <c r="AR4" s="56"/>
      <c r="AS4" s="49"/>
      <c r="AT4" s="49"/>
      <c r="AU4" s="3"/>
      <c r="AV4" s="18">
        <v>900</v>
      </c>
      <c r="AW4" s="18">
        <v>2592000</v>
      </c>
      <c r="AX4" s="18">
        <v>5270400</v>
      </c>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1"/>
      <c r="CS4" s="1"/>
      <c r="CT4" s="1"/>
      <c r="CU4" s="1"/>
    </row>
    <row r="5" spans="1:99" s="9" customFormat="1" ht="12" customHeight="1" x14ac:dyDescent="0.2">
      <c r="A5" s="37">
        <v>43509</v>
      </c>
      <c r="B5" s="1" t="s">
        <v>62</v>
      </c>
      <c r="C5" s="1" t="s">
        <v>34</v>
      </c>
      <c r="D5" s="32">
        <v>1976</v>
      </c>
      <c r="E5" s="41">
        <v>2</v>
      </c>
      <c r="F5" s="32">
        <v>100</v>
      </c>
      <c r="G5" s="32">
        <v>33.299999999999997</v>
      </c>
      <c r="H5" s="32" t="s">
        <v>22</v>
      </c>
      <c r="I5" s="32" t="s">
        <v>82</v>
      </c>
      <c r="J5" s="32" t="s">
        <v>82</v>
      </c>
      <c r="K5" s="32">
        <f>IF(J5="syllables",1,IF(J5="trigrams",2,IF(J5="strings",3,IF(J5="visual array",4,IF(J5="characters",5,IF(J5="letters",6,IF(J5="free forms",7,IF(J5="odors",8,IF(J5="words",9,IF(J5="pictures",10,IF(J5="object pictures",11,IF(J5="faces",12,IF(J5="names",13,IF(J5="idioms",14,IF(J5="grades",15,IF(J5="syllable-digit pairs",16,IF(J5="trigram-word pairs",17,IF(J5="word-digit pairs",18,IF(J5="English-Swahili pairs",19,IF(J5="spatial position",20,IF(J5="word pairs",21,IF(J5="word triads",22,IF(J5="generated words",23,IF(J5="word definition pairs",24,IF(J5="math problems",25,IF(J5="famous faces",26,IF(J5="famous names",27,IF(J5="famous voices",28,IF(J5="television programs",29,IF(J5="race horses",30,IF(J5="new vocabulary",31,IF(J5="sentences",32,IF(J5="concepts",33,IF(J5="ad slides",34,IF(J5="scenes",35,IF(J5="famous scenes",36,IF(J5="poems",37,IF(J5="walk",38,IF(J5="faces and events",39,IF(J5="events and names",40,IF(J5="flashbulb",41,IF(J5="stories",42,IF(J5="course material",43,IF(J5="autobiographical",44,IF(J5="novels",45,IF(J5="public events",46,"99"))))))))))))))))))))))))))))))))))))))))))))))</f>
        <v>10</v>
      </c>
      <c r="L5" s="32">
        <f>IF(J5="syllables",1,IF(J5="trigrams",1,IF(J5="strings",1,IF(J5="visual array",1,IF(J5="characters",1,IF(J5="letters",1,IF(J5="free forms",1,IF(J5="odors",2,IF(J5="words",2,IF(J5="pictures",2,IF(J5="object pictures",2,IF(J5="faces",2,IF(J5="names",2,IF(J5="idioms","2",IF(J5="grades",2,IF(J5="syllable-digit pairs",3,IF(J5="trigram-word pairs",3,IF(J5="word-digit pairs",3,IF(J5="English-Swahili pairs",3,IF(J5="spatial position",3,IF(J5="word pairs",4,IF(J5="word triads",4,IF(J5="generated words",4,IF(J5="word definition pairs",4,IF(J5="math problems",4,IF(J5="famous faces",4,IF(J5="famous names",4,IF(J5="famous voices",4,IF(J5="television programs",4,IF(J5="race horses",4,IF(J5="new vocabulary",4,IF(J5="sentences",5,IF(J5="concepts",5,IF(J5="ad slides",5,IF(J5="scenes",5,IF(J5="famous scenes",5,IF(J5="poems",6,IF(J5="walk",6,IF(J5="faces and events",6,IF(J5="events and names",6,IF(J5="flashbulb",7,IF(J5="stories",7,IF(J5="course material",7,IF(J5="autobiographical",7,IF(J5="novels",7,IF(J5="public events",7,"99"))))))))))))))))))))))))))))))))))))))))))))))</f>
        <v>2</v>
      </c>
      <c r="M5" s="32">
        <v>0</v>
      </c>
      <c r="N5" s="32">
        <v>1</v>
      </c>
      <c r="O5" s="32">
        <v>0</v>
      </c>
      <c r="P5" s="32"/>
      <c r="Q5" s="32" t="s">
        <v>18</v>
      </c>
      <c r="R5" s="32">
        <f>IF(Q5="Free Recall",1,IF(Q5="Cued Recall",2,IF(Q5="Recognition",3,IF(Q5="Multiple Choice",4,IF(Q5="Savings",5,IF(Q5="Stem Completion",6,IF(Q5="Fragment Completion",7,IF(Q5="anagram solution",8,IF(Q5="Matching",9,IF(Q5="Problem Solving",10,"99"))))))))))</f>
        <v>3</v>
      </c>
      <c r="S5" s="77" t="s">
        <v>196</v>
      </c>
      <c r="T5" s="32" t="s">
        <v>72</v>
      </c>
      <c r="U5" s="32">
        <f>IF(T5="within",1,0)</f>
        <v>0</v>
      </c>
      <c r="V5" s="32">
        <v>70</v>
      </c>
      <c r="W5" s="32">
        <f>F5*V5</f>
        <v>7000</v>
      </c>
      <c r="X5" s="32">
        <v>3</v>
      </c>
      <c r="Y5" s="41">
        <f>AV4</f>
        <v>900</v>
      </c>
      <c r="Z5" s="32" t="s">
        <v>64</v>
      </c>
      <c r="AA5" s="32">
        <v>5270400</v>
      </c>
      <c r="AB5" s="32" t="str">
        <f>IF(AA5&lt;60,"1",IF(AA5&lt;=43200,"2",IF(AA5&lt;=777600,"3","4")))</f>
        <v>4</v>
      </c>
      <c r="AC5" s="28">
        <f>AVERAGE(AV4:DA4)</f>
        <v>2621100</v>
      </c>
      <c r="AD5" s="32" t="str">
        <f>IF(AC5&lt;60,"1",IF(AC5&lt;=43200,"2",IF(AC5&lt;=777600,"3","4")))</f>
        <v>4</v>
      </c>
      <c r="AE5" s="41">
        <f>AA5-Y5</f>
        <v>5269500</v>
      </c>
      <c r="AF5" s="45">
        <f>AV5</f>
        <v>2.9590711555147919</v>
      </c>
      <c r="AG5" s="28">
        <f>((AW5-AV5)+(AX5-AW5))/2</f>
        <v>-1.1062387191743159</v>
      </c>
      <c r="AH5" s="4"/>
      <c r="AI5" s="28">
        <f>RSQ(AV5:AX5,AV4:AX4)</f>
        <v>0.84816748886484983</v>
      </c>
      <c r="AJ5" s="51">
        <f>SLOPE(AV5:AX5,AV4:AX4)</f>
        <v>-4.1817246119506811E-7</v>
      </c>
      <c r="AK5" s="28">
        <f>INTERCEPT(AV5:AX5,AV4:AX4)</f>
        <v>2.6858502061348957</v>
      </c>
      <c r="AL5" s="28">
        <f>INDEX(LINEST(LN(AV5:AX5),LN(AV4:AX4),TRUE,TRUE),3,1)</f>
        <v>0.96922473602906667</v>
      </c>
      <c r="AM5" s="28">
        <f>INDEX(LINEST(LN(AV5:AX5),LN(AV4:AX4)),1)</f>
        <v>-0.14616358275273308</v>
      </c>
      <c r="AN5" s="28">
        <f>EXP(INDEX(LINEST(LN(AV5:AX5),LN(AV4:AX4)),1,2))</f>
        <v>8.0833740265803389</v>
      </c>
      <c r="AO5" s="47">
        <f>INDEX(LINEST((AV5:AX5),LN(AV4:AX4),TRUE,TRUE),3,1)</f>
        <v>0.99650278101702994</v>
      </c>
      <c r="AP5" s="47">
        <f>INDEX(LINEST((AV5:AX5),LN(AV4:AX4)),1)</f>
        <v>-0.24794127452799736</v>
      </c>
      <c r="AQ5" s="48">
        <f>INDEX(LINEST(LN(AV5:AX5),SQRT(AV4:AX4),TRUE,TRUE),3,1)</f>
        <v>0.99755265679833993</v>
      </c>
      <c r="AR5" s="56">
        <f>INDEX(LINEST(LN(AV5:AX5),SQRT((AV4:AX4))),1)</f>
        <v>-6.1473610817989023E-4</v>
      </c>
      <c r="AS5" s="49">
        <f>INDEX(LINEST(1/(AV5:AX5),1/(SQRT(AV4:AX4)),TRUE,TRUE),3,1)</f>
        <v>0.84673902093995757</v>
      </c>
      <c r="AT5" s="49">
        <f>INDEX(LINEST(1/(AV5:AX5),1/SQRT(AV4:AX4)),1)</f>
        <v>-24.493521246382539</v>
      </c>
      <c r="AU5" s="3"/>
      <c r="AV5" s="25">
        <v>2.9590711555147919</v>
      </c>
      <c r="AW5" s="25">
        <v>1.0636702316085569</v>
      </c>
      <c r="AX5" s="25">
        <v>0.74659371716615985</v>
      </c>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1"/>
      <c r="CS5" s="1"/>
      <c r="CT5" s="1"/>
      <c r="CU5" s="1"/>
    </row>
    <row r="6" spans="1:99" s="9" customFormat="1" ht="12" customHeight="1" x14ac:dyDescent="0.2">
      <c r="A6" s="37">
        <v>43509</v>
      </c>
      <c r="B6" s="1"/>
      <c r="C6" s="1"/>
      <c r="D6" s="32"/>
      <c r="E6" s="41"/>
      <c r="F6" s="32"/>
      <c r="G6" s="32"/>
      <c r="H6" s="32"/>
      <c r="I6" s="32"/>
      <c r="J6" s="32"/>
      <c r="K6" s="36"/>
      <c r="L6" s="36"/>
      <c r="M6" s="32"/>
      <c r="N6" s="32"/>
      <c r="O6" s="32"/>
      <c r="P6" s="32"/>
      <c r="Q6" s="32"/>
      <c r="R6" s="32"/>
      <c r="S6" s="32"/>
      <c r="T6" s="32"/>
      <c r="U6" s="32"/>
      <c r="V6" s="32"/>
      <c r="W6" s="32"/>
      <c r="X6" s="32"/>
      <c r="Y6" s="41"/>
      <c r="Z6" s="32"/>
      <c r="AA6" s="32"/>
      <c r="AB6" s="32"/>
      <c r="AC6" s="32"/>
      <c r="AD6" s="32"/>
      <c r="AE6" s="32"/>
      <c r="AF6" s="45"/>
      <c r="AG6" s="28"/>
      <c r="AH6" s="4"/>
      <c r="AI6" s="28"/>
      <c r="AJ6" s="51"/>
      <c r="AK6" s="28"/>
      <c r="AL6" s="28"/>
      <c r="AM6" s="28"/>
      <c r="AN6" s="28"/>
      <c r="AO6" s="28"/>
      <c r="AP6" s="28"/>
      <c r="AQ6" s="28"/>
      <c r="AR6" s="51"/>
      <c r="AS6" s="28"/>
      <c r="AT6" s="28"/>
      <c r="AU6" s="4"/>
      <c r="AV6" s="18">
        <v>40</v>
      </c>
      <c r="AW6" s="18">
        <f>24*3600</f>
        <v>86400</v>
      </c>
      <c r="AX6" s="18">
        <f>7*24*3600*1</f>
        <v>604800</v>
      </c>
      <c r="AY6" s="18">
        <f>7*24*3600*6</f>
        <v>3628800</v>
      </c>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1"/>
      <c r="CS6" s="1"/>
      <c r="CT6" s="1"/>
      <c r="CU6" s="1"/>
    </row>
    <row r="7" spans="1:99" s="9" customFormat="1" ht="12" customHeight="1" x14ac:dyDescent="0.2">
      <c r="A7" s="37">
        <v>43509</v>
      </c>
      <c r="B7" s="1" t="s">
        <v>51</v>
      </c>
      <c r="C7" s="1" t="s">
        <v>52</v>
      </c>
      <c r="D7" s="32">
        <v>2016</v>
      </c>
      <c r="E7" s="41">
        <v>1</v>
      </c>
      <c r="F7" s="32">
        <v>95</v>
      </c>
      <c r="G7" s="32">
        <v>23.8</v>
      </c>
      <c r="H7" s="32" t="s">
        <v>143</v>
      </c>
      <c r="I7" s="32" t="s">
        <v>140</v>
      </c>
      <c r="J7" s="32" t="s">
        <v>83</v>
      </c>
      <c r="K7" s="32">
        <f>IF(J7="syllables",1,IF(J7="trigrams",2,IF(J7="strings",3,IF(J7="visual array",4,IF(J7="characters",5,IF(J7="letters",6,IF(J7="free forms",7,IF(J7="odors",8,IF(J7="words",9,IF(J7="pictures",10,IF(J7="object pictures",11,IF(J7="faces",12,IF(J7="names",13,IF(J7="idioms",14,IF(J7="grades",15,IF(J7="syllable-digit pairs",16,IF(J7="trigram-word pairs",17,IF(J7="word-digit pairs",18,IF(J7="English-Swahili pairs",19,IF(J7="spatial position",20,IF(J7="word pairs",21,IF(J7="word triads",22,IF(J7="generated words",23,IF(J7="word definition pairs",24,IF(J7="math problems",25,IF(J7="famous faces",26,IF(J7="famous names",27,IF(J7="famous voices",28,IF(J7="television programs",29,IF(J7="race horses",30,IF(J7="new vocabulary",31,IF(J7="sentences",32,IF(J7="concepts",33,IF(J7="ad slides",34,IF(J7="scenes",35,IF(J7="famous scenes",36,IF(J7="poems",37,IF(J7="walk",38,IF(J7="faces and events",39,IF(J7="events and names",40,IF(J7="flashbulb",41,IF(J7="stories",42,IF(J7="course material",43,IF(J7="autobiographical",44,IF(J7="novels",45,IF(J7="public events",46,"99"))))))))))))))))))))))))))))))))))))))))))))))</f>
        <v>7</v>
      </c>
      <c r="L7" s="32">
        <f>IF(J7="syllables",1,IF(J7="trigrams",1,IF(J7="strings",1,IF(J7="visual array",1,IF(J7="characters",1,IF(J7="letters",1,IF(J7="free forms",1,IF(J7="odors",2,IF(J7="words",2,IF(J7="pictures",2,IF(J7="object pictures",2,IF(J7="faces",2,IF(J7="names",2,IF(J7="idioms","2",IF(J7="grades",2,IF(J7="syllable-digit pairs",3,IF(J7="trigram-word pairs",3,IF(J7="word-digit pairs",3,IF(J7="English-Swahili pairs",3,IF(J7="spatial position",3,IF(J7="word pairs",4,IF(J7="word triads",4,IF(J7="generated words",4,IF(J7="word definition pairs",4,IF(J7="math problems",4,IF(J7="famous faces",4,IF(J7="famous names",4,IF(J7="famous voices",4,IF(J7="television programs",4,IF(J7="race horses",4,IF(J7="new vocabulary",4,IF(J7="sentences",5,IF(J7="concepts",5,IF(J7="ad slides",5,IF(J7="scenes",5,IF(J7="famous scenes",5,IF(J7="poems",6,IF(J7="walk",6,IF(J7="faces and events",6,IF(J7="events and names",6,IF(J7="flashbulb",7,IF(J7="stories",7,IF(J7="course material",7,IF(J7="autobiographical",7,IF(J7="novels",7,IF(J7="public events",7,"99"))))))))))))))))))))))))))))))))))))))))))))))</f>
        <v>1</v>
      </c>
      <c r="M7" s="32">
        <v>0</v>
      </c>
      <c r="N7" s="32">
        <v>1</v>
      </c>
      <c r="O7" s="32">
        <v>0</v>
      </c>
      <c r="P7" s="32"/>
      <c r="Q7" s="32" t="s">
        <v>18</v>
      </c>
      <c r="R7" s="32">
        <f>IF(Q7="Free Recall",1,IF(Q7="Cued Recall",2,IF(Q7="Recognition",3,IF(Q7="Multiple Choice",4,IF(Q7="Savings",5,IF(Q7="Stem Completion",6,IF(Q7="Fragment Completion",7,IF(Q7="anagram solution",8,IF(Q7="Matching",9,IF(Q7="Problem Solving",10,"99"))))))))))</f>
        <v>3</v>
      </c>
      <c r="S7" s="77" t="s">
        <v>196</v>
      </c>
      <c r="T7" s="32" t="s">
        <v>72</v>
      </c>
      <c r="U7" s="32">
        <f>IF(T7="within",1,0)</f>
        <v>0</v>
      </c>
      <c r="V7" s="32">
        <v>40</v>
      </c>
      <c r="W7" s="32">
        <f>F7*V7</f>
        <v>3800</v>
      </c>
      <c r="X7" s="32">
        <v>4</v>
      </c>
      <c r="Y7" s="41">
        <f>AV6</f>
        <v>40</v>
      </c>
      <c r="Z7" s="32" t="s">
        <v>53</v>
      </c>
      <c r="AA7" s="32">
        <v>3628800</v>
      </c>
      <c r="AB7" s="32" t="str">
        <f>IF(AA7&lt;60,"1",IF(AA7&lt;=43200,"2",IF(AA7&lt;=777600,"3","4")))</f>
        <v>4</v>
      </c>
      <c r="AC7" s="28">
        <f>AVERAGE(AV6:DA6)</f>
        <v>1080010</v>
      </c>
      <c r="AD7" s="32" t="str">
        <f>IF(AC7&lt;60,"1",IF(AC7&lt;=43200,"2",IF(AC7&lt;=777600,"3","4")))</f>
        <v>4</v>
      </c>
      <c r="AE7" s="41">
        <f>AA7-Y7</f>
        <v>3628760</v>
      </c>
      <c r="AF7" s="45">
        <f>AV7</f>
        <v>1.0796653968408882</v>
      </c>
      <c r="AG7" s="28">
        <f>((AW7-AV7)+(AX7-AW7)+(AY7-AX7))/3</f>
        <v>-0.23249417254712426</v>
      </c>
      <c r="AH7" s="4"/>
      <c r="AI7" s="28">
        <f>RSQ(AV7:AY7,AV6:AY6)</f>
        <v>0.82195991961340908</v>
      </c>
      <c r="AJ7" s="51">
        <f>SLOPE(AV7:AY7,AV6:AY6)</f>
        <v>-1.7551162227100594E-7</v>
      </c>
      <c r="AK7" s="28">
        <f>INTERCEPT(AV7:AY7,AV6:AY6)</f>
        <v>0.98650823083557937</v>
      </c>
      <c r="AL7" s="28">
        <f>INDEX(LINEST(LN(AV7:AY7),LN(AV6:AY6),TRUE,TRUE),3,1)</f>
        <v>0.57455131686228722</v>
      </c>
      <c r="AM7" s="28">
        <f>INDEX(LINEST(LN(AV7:AY7),LN(AV6:AY6)),1)</f>
        <v>-7.3519163835050028E-2</v>
      </c>
      <c r="AN7" s="28">
        <f>EXP(INDEX(LINEST(LN(AV7:AY7),LN(AV6:AY6)),1,2))</f>
        <v>1.6350275670012504</v>
      </c>
      <c r="AO7" s="47">
        <f>INDEX(LINEST((AV7:AY7),LN(AV6:AY6),TRUE,TRUE),3,1)</f>
        <v>0.62314339112810069</v>
      </c>
      <c r="AP7" s="47">
        <f>INDEX(LINEST((AV7:AY7),LN(AV6:AY6)),1)</f>
        <v>-5.2323242383837662E-2</v>
      </c>
      <c r="AQ7" s="48">
        <f>INDEX(LINEST(LN(AV7:AY7),SQRT(AV6:AY6),TRUE,TRUE),3,1)</f>
        <v>0.97684781933930531</v>
      </c>
      <c r="AR7" s="56">
        <f>INDEX(LINEST(LN(AV7:AY7),SQRT((AV6:AY6))),1)</f>
        <v>-5.7620239940363435E-4</v>
      </c>
      <c r="AS7" s="49">
        <f>INDEX(LINEST(1/(AV7:AY7),1/(SQRT(AV6:AY6)),TRUE,TRUE),3,1)</f>
        <v>0.24097221419566045</v>
      </c>
      <c r="AT7" s="49">
        <f>INDEX(LINEST(1/(AV7:AY7),1/SQRT(AV6:AY6)),1)</f>
        <v>-4.9675148811115015</v>
      </c>
      <c r="AU7" s="3"/>
      <c r="AV7" s="25">
        <v>1.0796653968408882</v>
      </c>
      <c r="AW7" s="25">
        <v>1.052658466739713</v>
      </c>
      <c r="AX7" s="25">
        <v>0.6733089518865647</v>
      </c>
      <c r="AY7" s="25">
        <v>0.38218287919951538</v>
      </c>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1"/>
      <c r="CS7" s="1"/>
      <c r="CT7" s="1"/>
      <c r="CU7" s="1"/>
    </row>
    <row r="8" spans="1:99" s="9" customFormat="1" ht="12" customHeight="1" x14ac:dyDescent="0.2">
      <c r="A8" s="37">
        <v>43509</v>
      </c>
      <c r="B8" s="1"/>
      <c r="C8" s="1"/>
      <c r="D8" s="32"/>
      <c r="E8" s="41"/>
      <c r="F8" s="32"/>
      <c r="G8" s="32"/>
      <c r="H8" s="32"/>
      <c r="I8" s="32"/>
      <c r="J8" s="32"/>
      <c r="K8" s="36"/>
      <c r="L8" s="36"/>
      <c r="M8" s="32"/>
      <c r="N8" s="32"/>
      <c r="O8" s="32"/>
      <c r="P8" s="32"/>
      <c r="Q8" s="32"/>
      <c r="R8" s="32"/>
      <c r="S8" s="32"/>
      <c r="T8" s="32"/>
      <c r="U8" s="32"/>
      <c r="V8" s="32"/>
      <c r="W8" s="32"/>
      <c r="X8" s="32"/>
      <c r="Y8" s="41"/>
      <c r="Z8" s="32"/>
      <c r="AA8" s="32"/>
      <c r="AB8" s="32"/>
      <c r="AC8" s="32"/>
      <c r="AD8" s="32"/>
      <c r="AE8" s="32"/>
      <c r="AF8" s="45"/>
      <c r="AG8" s="28"/>
      <c r="AH8" s="4"/>
      <c r="AI8" s="28"/>
      <c r="AJ8" s="51"/>
      <c r="AK8" s="28"/>
      <c r="AL8" s="28"/>
      <c r="AM8" s="28"/>
      <c r="AN8" s="28"/>
      <c r="AO8" s="28"/>
      <c r="AP8" s="28"/>
      <c r="AQ8" s="28"/>
      <c r="AR8" s="51"/>
      <c r="AS8" s="28"/>
      <c r="AT8" s="28"/>
      <c r="AU8" s="4"/>
      <c r="AV8" s="18">
        <v>40</v>
      </c>
      <c r="AW8" s="18">
        <f>24*3600</f>
        <v>86400</v>
      </c>
      <c r="AX8" s="18">
        <f>7*24*3600*1</f>
        <v>604800</v>
      </c>
      <c r="AY8" s="18">
        <f>7*24*3600*6</f>
        <v>3628800</v>
      </c>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1"/>
      <c r="CS8" s="1"/>
      <c r="CT8" s="1"/>
      <c r="CU8" s="1"/>
    </row>
    <row r="9" spans="1:99" s="9" customFormat="1" ht="12" customHeight="1" x14ac:dyDescent="0.2">
      <c r="A9" s="37">
        <v>43509</v>
      </c>
      <c r="B9" s="1" t="s">
        <v>51</v>
      </c>
      <c r="C9" s="1" t="s">
        <v>52</v>
      </c>
      <c r="D9" s="32">
        <v>2016</v>
      </c>
      <c r="E9" s="41">
        <v>1</v>
      </c>
      <c r="F9" s="32">
        <v>95</v>
      </c>
      <c r="G9" s="32">
        <v>23.8</v>
      </c>
      <c r="H9" s="32" t="s">
        <v>143</v>
      </c>
      <c r="I9" s="32" t="s">
        <v>142</v>
      </c>
      <c r="J9" s="32" t="s">
        <v>83</v>
      </c>
      <c r="K9" s="32">
        <f>IF(J9="syllables",1,IF(J9="trigrams",2,IF(J9="strings",3,IF(J9="visual array",4,IF(J9="characters",5,IF(J9="letters",6,IF(J9="free forms",7,IF(J9="odors",8,IF(J9="words",9,IF(J9="pictures",10,IF(J9="object pictures",11,IF(J9="faces",12,IF(J9="names",13,IF(J9="idioms",14,IF(J9="grades",15,IF(J9="syllable-digit pairs",16,IF(J9="trigram-word pairs",17,IF(J9="word-digit pairs",18,IF(J9="English-Swahili pairs",19,IF(J9="spatial position",20,IF(J9="word pairs",21,IF(J9="word triads",22,IF(J9="generated words",23,IF(J9="word definition pairs",24,IF(J9="math problems",25,IF(J9="famous faces",26,IF(J9="famous names",27,IF(J9="famous voices",28,IF(J9="television programs",29,IF(J9="race horses",30,IF(J9="new vocabulary",31,IF(J9="sentences",32,IF(J9="concepts",33,IF(J9="ad slides",34,IF(J9="scenes",35,IF(J9="famous scenes",36,IF(J9="poems",37,IF(J9="walk",38,IF(J9="faces and events",39,IF(J9="events and names",40,IF(J9="flashbulb",41,IF(J9="stories",42,IF(J9="course material",43,IF(J9="autobiographical",44,IF(J9="novels",45,IF(J9="public events",46,"99"))))))))))))))))))))))))))))))))))))))))))))))</f>
        <v>7</v>
      </c>
      <c r="L9" s="32">
        <f>IF(J9="syllables",1,IF(J9="trigrams",1,IF(J9="strings",1,IF(J9="visual array",1,IF(J9="characters",1,IF(J9="letters",1,IF(J9="free forms",1,IF(J9="odors",2,IF(J9="words",2,IF(J9="pictures",2,IF(J9="object pictures",2,IF(J9="faces",2,IF(J9="names",2,IF(J9="idioms","2",IF(J9="grades",2,IF(J9="syllable-digit pairs",3,IF(J9="trigram-word pairs",3,IF(J9="word-digit pairs",3,IF(J9="English-Swahili pairs",3,IF(J9="spatial position",3,IF(J9="word pairs",4,IF(J9="word triads",4,IF(J9="generated words",4,IF(J9="word definition pairs",4,IF(J9="math problems",4,IF(J9="famous faces",4,IF(J9="famous names",4,IF(J9="famous voices",4,IF(J9="television programs",4,IF(J9="race horses",4,IF(J9="new vocabulary",4,IF(J9="sentences",5,IF(J9="concepts",5,IF(J9="ad slides",5,IF(J9="scenes",5,IF(J9="famous scenes",5,IF(J9="poems",6,IF(J9="walk",6,IF(J9="faces and events",6,IF(J9="events and names",6,IF(J9="flashbulb",7,IF(J9="stories",7,IF(J9="course material",7,IF(J9="autobiographical",7,IF(J9="novels",7,IF(J9="public events",7,"99"))))))))))))))))))))))))))))))))))))))))))))))</f>
        <v>1</v>
      </c>
      <c r="M9" s="32">
        <v>0</v>
      </c>
      <c r="N9" s="32">
        <v>1</v>
      </c>
      <c r="O9" s="32">
        <v>0</v>
      </c>
      <c r="P9" s="32"/>
      <c r="Q9" s="32" t="s">
        <v>18</v>
      </c>
      <c r="R9" s="32">
        <f>IF(Q9="Free Recall",1,IF(Q9="Cued Recall",2,IF(Q9="Recognition",3,IF(Q9="Multiple Choice",4,IF(Q9="Savings",5,IF(Q9="Stem Completion",6,IF(Q9="Fragment Completion",7,IF(Q9="anagram solution",8,IF(Q9="Matching",9,IF(Q9="Problem Solving",10,"99"))))))))))</f>
        <v>3</v>
      </c>
      <c r="S9" s="77" t="s">
        <v>196</v>
      </c>
      <c r="T9" s="32" t="s">
        <v>72</v>
      </c>
      <c r="U9" s="32">
        <f>IF(T9="within",1,0)</f>
        <v>0</v>
      </c>
      <c r="V9" s="32">
        <v>40</v>
      </c>
      <c r="W9" s="32">
        <f>F9*V9</f>
        <v>3800</v>
      </c>
      <c r="X9" s="32">
        <v>4</v>
      </c>
      <c r="Y9" s="41">
        <f>AV8</f>
        <v>40</v>
      </c>
      <c r="Z9" s="32" t="s">
        <v>53</v>
      </c>
      <c r="AA9" s="32">
        <v>3628800</v>
      </c>
      <c r="AB9" s="32" t="str">
        <f>IF(AA9&lt;60,"1",IF(AA9&lt;=43200,"2",IF(AA9&lt;=777600,"3","4")))</f>
        <v>4</v>
      </c>
      <c r="AC9" s="28">
        <f>AVERAGE(AV8:DA8)</f>
        <v>1080010</v>
      </c>
      <c r="AD9" s="32" t="str">
        <f>IF(AC9&lt;60,"1",IF(AC9&lt;=43200,"2",IF(AC9&lt;=777600,"3","4")))</f>
        <v>4</v>
      </c>
      <c r="AE9" s="41">
        <f>AA9-Y9</f>
        <v>3628760</v>
      </c>
      <c r="AF9" s="45">
        <f>AV9</f>
        <v>0.58367181086701547</v>
      </c>
      <c r="AG9" s="28">
        <f>((AW9-AV9)+(AX9-AW9)+(AY9-AX9))/3</f>
        <v>-0.18403311030041805</v>
      </c>
      <c r="AH9" s="4"/>
      <c r="AI9" s="28">
        <f>RSQ(AV9:AY9,AV8:AY8)</f>
        <v>0.97645908503657486</v>
      </c>
      <c r="AJ9" s="51">
        <f>SLOPE(AV9:AY9,AV8:AY8)</f>
        <v>-1.4102281082407653E-7</v>
      </c>
      <c r="AK9" s="28">
        <f>INTERCEPT(AV9:AY9,AV8:AY8)</f>
        <v>0.53601257612062958</v>
      </c>
      <c r="AL9" s="28">
        <f>INDEX(LINEST(LN(AV9:AY9),LN(AV8:AY8),TRUE,TRUE),3,1)</f>
        <v>0.40580334274333918</v>
      </c>
      <c r="AM9" s="28">
        <f>INDEX(LINEST(LN(AV9:AY9),LN(AV8:AY8)),1)</f>
        <v>-0.17559401246769624</v>
      </c>
      <c r="AN9" s="28">
        <f>EXP(INDEX(LINEST(LN(AV9:AY9),LN(AV8:AY8)),1,2))</f>
        <v>1.679210133214903</v>
      </c>
      <c r="AO9" s="47">
        <f>INDEX(LINEST((AV9:AY9),LN(AV8:AY8),TRUE,TRUE),3,1)</f>
        <v>0.5739393303978868</v>
      </c>
      <c r="AP9" s="47">
        <f>INDEX(LINEST((AV9:AY9),LN(AV8:AY8)),1)</f>
        <v>-3.7018211020092284E-2</v>
      </c>
      <c r="AQ9" s="48">
        <f>INDEX(LINEST(LN(AV9:AY9),SQRT(AV8:AY8),TRUE,TRUE),3,1)</f>
        <v>0.92129585407996051</v>
      </c>
      <c r="AR9" s="56">
        <f>INDEX(LINEST(LN(AV9:AY9),SQRT((AV8:AY8))),1)</f>
        <v>-1.5902921354478438E-3</v>
      </c>
      <c r="AS9" s="49">
        <f>INDEX(LINEST(1/(AV9:AY9),1/(SQRT(AV8:AY8)),TRUE,TRUE),3,1)</f>
        <v>0.1283831282883186</v>
      </c>
      <c r="AT9" s="49">
        <f>INDEX(LINEST(1/(AV9:AY9),1/SQRT(AV8:AY8)),1)</f>
        <v>-67.906791264122717</v>
      </c>
      <c r="AU9" s="3"/>
      <c r="AV9" s="25">
        <v>0.58367181086701547</v>
      </c>
      <c r="AW9" s="25">
        <v>0.51082649346280551</v>
      </c>
      <c r="AX9" s="25">
        <v>0.40875533651449225</v>
      </c>
      <c r="AY9" s="25">
        <v>3.1572479965761291E-2</v>
      </c>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1"/>
      <c r="CS9" s="1"/>
      <c r="CT9" s="1"/>
      <c r="CU9" s="1"/>
    </row>
    <row r="10" spans="1:99" s="60" customFormat="1" ht="12" customHeight="1" x14ac:dyDescent="0.2">
      <c r="A10" s="94">
        <v>43509</v>
      </c>
      <c r="B10" s="101"/>
      <c r="C10" s="101"/>
      <c r="D10" s="77"/>
      <c r="E10" s="98"/>
      <c r="F10" s="77"/>
      <c r="G10" s="77"/>
      <c r="H10" s="77"/>
      <c r="I10" s="77"/>
      <c r="J10" s="77"/>
      <c r="K10" s="102"/>
      <c r="L10" s="102"/>
      <c r="M10" s="77"/>
      <c r="N10" s="77"/>
      <c r="O10" s="77"/>
      <c r="P10" s="77"/>
      <c r="Q10" s="77"/>
      <c r="R10" s="77"/>
      <c r="S10" s="77"/>
      <c r="T10" s="77"/>
      <c r="U10" s="32"/>
      <c r="V10" s="77"/>
      <c r="W10" s="77"/>
      <c r="X10" s="77"/>
      <c r="Y10" s="98"/>
      <c r="Z10" s="77"/>
      <c r="AA10" s="77"/>
      <c r="AB10" s="77"/>
      <c r="AC10" s="77"/>
      <c r="AD10" s="77"/>
      <c r="AE10" s="77"/>
      <c r="AF10" s="99"/>
      <c r="AG10" s="100"/>
      <c r="AH10" s="84"/>
      <c r="AI10" s="100"/>
      <c r="AJ10" s="105"/>
      <c r="AK10" s="100"/>
      <c r="AL10" s="100"/>
      <c r="AM10" s="100"/>
      <c r="AN10" s="100"/>
      <c r="AO10" s="100"/>
      <c r="AP10" s="100"/>
      <c r="AQ10" s="100"/>
      <c r="AR10" s="105"/>
      <c r="AS10" s="100"/>
      <c r="AT10" s="100"/>
      <c r="AU10" s="62"/>
      <c r="AV10" s="64">
        <v>90</v>
      </c>
      <c r="AW10" s="64">
        <f>2*24*60*60</f>
        <v>172800</v>
      </c>
      <c r="AX10" s="64">
        <f>14*24*60*60</f>
        <v>1209600</v>
      </c>
      <c r="AY10" s="64">
        <f>61*24*60*60</f>
        <v>5270400</v>
      </c>
      <c r="AZ10" s="65"/>
      <c r="BA10" s="65"/>
      <c r="BB10" s="65"/>
      <c r="BC10" s="65"/>
      <c r="BD10" s="65"/>
      <c r="BE10" s="65"/>
      <c r="BF10" s="65"/>
      <c r="BG10" s="65"/>
      <c r="BH10" s="65"/>
      <c r="BI10" s="65"/>
      <c r="BJ10" s="65"/>
      <c r="BK10" s="65"/>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c r="CN10" s="61"/>
      <c r="CO10" s="61"/>
      <c r="CP10" s="61"/>
      <c r="CQ10" s="61"/>
      <c r="CR10" s="59"/>
      <c r="CS10" s="59"/>
      <c r="CT10" s="59"/>
      <c r="CU10" s="59"/>
    </row>
    <row r="11" spans="1:99" s="60" customFormat="1" ht="12" customHeight="1" x14ac:dyDescent="0.2">
      <c r="A11" s="94">
        <v>43509</v>
      </c>
      <c r="B11" s="101" t="s">
        <v>65</v>
      </c>
      <c r="C11" s="101" t="s">
        <v>34</v>
      </c>
      <c r="D11" s="77">
        <v>2002</v>
      </c>
      <c r="E11" s="98">
        <v>2</v>
      </c>
      <c r="F11" s="77">
        <v>60</v>
      </c>
      <c r="G11" s="77">
        <v>20</v>
      </c>
      <c r="H11" s="77" t="s">
        <v>15</v>
      </c>
      <c r="I11" s="77" t="s">
        <v>202</v>
      </c>
      <c r="J11" s="77" t="s">
        <v>12</v>
      </c>
      <c r="K11" s="77" t="str">
        <f>IF(J11="syllables","1",IF(J11="trigrams","2",IF(J11="strings","3",IF(J11="visual array","4",IF(J11="characters","5",IF(J11="letters","6",IF(J11="free forms","7",IF(J11="odors","8",IF(J11="words","9",IF(J11="pictures","10",IF(J11="object pictures","11",IF(J11="faces","12",IF(J11="names","13",IF(J11="idioms","14",IF(J11="grades","15",IF(J11="syllable-digit pairs","16",IF(J11="trigram-word pairs","17",IF(J11="word-digit pairs","18",IF(J11="English-Swahili pairs","19",IF(J11="spatial position","20",IF(J11="word pairs","21",IF(J11="word triads","22",IF(J11="generated words","23",IF(J11="word definition pairs","24",IF(J11="math problems","25",IF(J11="famous faces","26",IF(J11="famous names","27",IF(J11="famous voices","28",IF(J11="television programs","29",IF(J11="race horses","30",IF(J11="new vocabulary","31",IF(J11="sentences","32",IF(J11="concepts","33",IF(J11="ad slides","34",IF(J11="scenes","35",IF(J11="famous scenes","36",IF(J11="poems","37",IF(J11="walk","38",IF(J11="faces and events","39",IF(J11="events and names","40",IF(J11="flashbulb","41",IF(J11="stories","42",IF(J11="course material","43",IF(J11="autobiographical","44",IF(J11="novels","45",IF(J11="public events","46",IF(J11="order","90","99")))))))))))))))))))))))))))))))))))))))))))))))</f>
        <v>9</v>
      </c>
      <c r="L11" s="77" t="str">
        <f>IF(J11="syllables","1",IF(J11="trigrams","1",IF(J11="strings","1",IF(J11="visual array","1",IF(J11="characters","1",IF(J11="letters","1",IF(J11="free forms","1",IF(J11="odors","2",IF(J11="words","2",IF(J11="pictures","2",IF(J11="object pictures","2",IF(J11="faces","2",IF(J11="names","2",IF(J11="idioms","2",IF(J11="grades","2",IF(J11="syllable-digit pairs","3",IF(J11="trigram-word pairs","3",IF(J11="word-digit pairs","3",IF(J11="English-Swahili pairs","3",IF(J11="spatial position","3",IF(J11="word pairs","4",IF(J11="word triads","4",IF(J11="generated words","4",IF(J11="word definition pairs","4",IF(J11="math problems","4",IF(J11="famous faces","4",IF(J11="famous names","4",IF(J11="famous voices","4",IF(J11="television programs","4",IF(J11="race horses","4",IF(J11="new vocabulary","4",IF(J11="sentences","5",IF(J11="concepts","5",IF(J11="ad slides","5",IF(J11="scenes","5",IF(J11="famous scenes","5",IF(J11="poems","6",IF(J11="walk","6",IF(J11="faces and events","6",IF(J11="events and names","6",IF(J11="flashbulb","7",IF(J11="stories","7",IF(J11="course material","7",IF(J11="autobiographical","7",IF(J11="novels","7",IF(J11="public events","7",IF(J11="order","90","99")))))))))))))))))))))))))))))))))))))))))))))))</f>
        <v>2</v>
      </c>
      <c r="M11" s="77" t="s">
        <v>195</v>
      </c>
      <c r="N11" s="77">
        <v>1</v>
      </c>
      <c r="O11" s="77" t="s">
        <v>195</v>
      </c>
      <c r="P11" s="77"/>
      <c r="Q11" s="77" t="s">
        <v>18</v>
      </c>
      <c r="R11" s="77" t="str">
        <f>IF(Q11="Free Recall","1",IF(Q11="Cued Recall","2",IF(Q11="Recognition","3",IF(Q11="Multiple Choice","4",IF(Q11="Savings","5",IF(Q11="Stem Completion","6",IF(Q11="Fragment Completion","7",IF(Q11="anagram solution","8",IF(Q11="Matching","9",IF(Q11="Problem Solving","10","99"))))))))))</f>
        <v>3</v>
      </c>
      <c r="S11" s="77" t="s">
        <v>196</v>
      </c>
      <c r="T11" s="77" t="s">
        <v>72</v>
      </c>
      <c r="U11" s="32">
        <f>IF(T11="within",1,0)</f>
        <v>0</v>
      </c>
      <c r="V11" s="77">
        <v>48</v>
      </c>
      <c r="W11" s="77">
        <f>F11*V11</f>
        <v>2880</v>
      </c>
      <c r="X11" s="77">
        <v>4</v>
      </c>
      <c r="Y11" s="98">
        <f>AV10</f>
        <v>90</v>
      </c>
      <c r="Z11" s="77" t="s">
        <v>64</v>
      </c>
      <c r="AA11" s="98">
        <f>61*24*60*60</f>
        <v>5270400</v>
      </c>
      <c r="AB11" s="77" t="str">
        <f>IF(AA11&lt;60,"1",IF(AA11&lt;=43200,"2",IF(AA11&lt;=777600,"3","4")))</f>
        <v>4</v>
      </c>
      <c r="AC11" s="100">
        <f>AVERAGE(AV10:DA10)</f>
        <v>1663222.5</v>
      </c>
      <c r="AD11" s="77" t="str">
        <f>IF(AC11&lt;60,"1",IF(AC11&lt;=43200,"2",IF(AC11&lt;=777600,"3","4")))</f>
        <v>4</v>
      </c>
      <c r="AE11" s="98">
        <f>AA11-Y11</f>
        <v>5270310</v>
      </c>
      <c r="AF11" s="99">
        <f>AV11</f>
        <v>1.7</v>
      </c>
      <c r="AG11" s="100">
        <f>((AW11-AV11)+(AX11-AW11)+(AY11-AX11))/3</f>
        <v>-0.45</v>
      </c>
      <c r="AH11" s="84"/>
      <c r="AI11" s="100">
        <f>RSQ(AV11:AY11,AV10:AY10)</f>
        <v>0.78480588955461461</v>
      </c>
      <c r="AJ11" s="105">
        <f>SLOPE(AV11:AY11,AV10:AY10)</f>
        <v>-2.0512987181984543E-7</v>
      </c>
      <c r="AK11" s="100">
        <f>INTERCEPT(AV11:AY11,AV10:AY10)</f>
        <v>1.3636766182328828</v>
      </c>
      <c r="AL11" s="100">
        <f>INDEX(LINEST(LN(AV11:AY11),LN(AV10:AY10),TRUE,TRUE),3,1)</f>
        <v>0.68453819801022919</v>
      </c>
      <c r="AM11" s="100">
        <f>INDEX(LINEST(LN(AV11:AY11),LN(AV10:AY10)),1)</f>
        <v>-0.11509432096161484</v>
      </c>
      <c r="AN11" s="100">
        <f>EXP(INDEX(LINEST(LN(AV11:AY11),LN(AV10:AY10)),1,2))</f>
        <v>3.3102340370742933</v>
      </c>
      <c r="AO11" s="104">
        <f>INDEX(LINEST((AV11:AY11),LN(AV10:AY10),TRUE,TRUE),3,1)</f>
        <v>0.86731633330472302</v>
      </c>
      <c r="AP11" s="104">
        <f>INDEX(LINEST((AV11:AY11),LN(AV10:AY10)),1)</f>
        <v>-0.10887599775689695</v>
      </c>
      <c r="AQ11" s="48">
        <f>INDEX(LINEST(LN(AV11:AY11),SQRT(AV10:AY10),TRUE,TRUE),3,1)</f>
        <v>0.9955021410712257</v>
      </c>
      <c r="AR11" s="56">
        <f>INDEX(LINEST(LN(AV11:AY11),SQRT((AV10:AY10))),1)</f>
        <v>-6.7681257549960625E-4</v>
      </c>
      <c r="AS11" s="49">
        <f>INDEX(LINEST(1/(AV11:AY11),1/(SQRT(AV10:AY10)),TRUE,TRUE),3,1)</f>
        <v>0.268766903389977</v>
      </c>
      <c r="AT11" s="49">
        <f>INDEX(LINEST(1/(AV11:AY11),1/SQRT(AV10:AY10)),1)</f>
        <v>-10.187627796679035</v>
      </c>
      <c r="AU11" s="63"/>
      <c r="AV11" s="65">
        <v>1.7</v>
      </c>
      <c r="AW11" s="65">
        <v>1.2</v>
      </c>
      <c r="AX11" s="65">
        <v>0.84</v>
      </c>
      <c r="AY11" s="65">
        <v>0.35</v>
      </c>
      <c r="AZ11" s="65"/>
      <c r="BA11" s="65"/>
      <c r="BB11" s="65"/>
      <c r="BC11" s="65"/>
      <c r="BD11" s="65"/>
      <c r="BE11" s="65"/>
      <c r="BF11" s="65"/>
      <c r="BG11" s="65"/>
      <c r="BH11" s="65"/>
      <c r="BI11" s="65"/>
      <c r="BJ11" s="65"/>
      <c r="BK11" s="65"/>
      <c r="BL11" s="61"/>
      <c r="BM11" s="61"/>
      <c r="BN11" s="61"/>
      <c r="BO11" s="61"/>
      <c r="BP11" s="61"/>
      <c r="BQ11" s="61"/>
      <c r="BR11" s="61"/>
      <c r="BS11" s="61"/>
      <c r="BT11" s="61"/>
      <c r="BU11" s="61"/>
      <c r="BV11" s="61"/>
      <c r="BW11" s="61"/>
      <c r="BX11" s="61"/>
      <c r="BY11" s="61"/>
      <c r="BZ11" s="61"/>
      <c r="CA11" s="61"/>
      <c r="CB11" s="61"/>
      <c r="CC11" s="61"/>
      <c r="CD11" s="61"/>
      <c r="CE11" s="61"/>
      <c r="CF11" s="61"/>
      <c r="CG11" s="61"/>
      <c r="CH11" s="61"/>
      <c r="CI11" s="61"/>
      <c r="CJ11" s="61"/>
      <c r="CK11" s="61"/>
      <c r="CL11" s="61"/>
      <c r="CM11" s="61"/>
      <c r="CN11" s="61"/>
      <c r="CO11" s="61"/>
      <c r="CP11" s="61"/>
      <c r="CQ11" s="61"/>
      <c r="CR11" s="59"/>
      <c r="CS11" s="59"/>
      <c r="CT11" s="59"/>
      <c r="CU11" s="59"/>
    </row>
    <row r="12" spans="1:99" s="9" customFormat="1" ht="12" customHeight="1" x14ac:dyDescent="0.2">
      <c r="A12" s="37">
        <v>43899</v>
      </c>
      <c r="B12" s="1"/>
      <c r="C12" s="1"/>
      <c r="D12" s="32"/>
      <c r="E12" s="41"/>
      <c r="F12" s="32"/>
      <c r="G12" s="32"/>
      <c r="H12" s="32"/>
      <c r="I12" s="32"/>
      <c r="J12" s="32"/>
      <c r="K12" s="36"/>
      <c r="L12" s="36"/>
      <c r="M12" s="32"/>
      <c r="N12" s="32"/>
      <c r="O12" s="32"/>
      <c r="P12" s="32"/>
      <c r="Q12" s="32"/>
      <c r="R12" s="32"/>
      <c r="S12" s="32"/>
      <c r="T12" s="32"/>
      <c r="U12" s="32"/>
      <c r="V12" s="32"/>
      <c r="W12" s="32"/>
      <c r="X12" s="32"/>
      <c r="Y12" s="41"/>
      <c r="Z12" s="32"/>
      <c r="AA12" s="32"/>
      <c r="AB12" s="32"/>
      <c r="AC12" s="28"/>
      <c r="AD12" s="32"/>
      <c r="AE12" s="32"/>
      <c r="AF12" s="45"/>
      <c r="AG12" s="28"/>
      <c r="AH12" s="4"/>
      <c r="AI12" s="28"/>
      <c r="AJ12" s="51"/>
      <c r="AK12" s="28"/>
      <c r="AL12" s="28"/>
      <c r="AM12" s="28"/>
      <c r="AN12" s="28"/>
      <c r="AO12" s="47"/>
      <c r="AP12" s="47"/>
      <c r="AQ12" s="48"/>
      <c r="AR12" s="56"/>
      <c r="AS12" s="49"/>
      <c r="AT12" s="49"/>
      <c r="AU12" s="3"/>
      <c r="AV12" s="18">
        <f>30*60</f>
        <v>1800</v>
      </c>
      <c r="AW12" s="18">
        <f>60*60*24*2</f>
        <v>172800</v>
      </c>
      <c r="AX12" s="18">
        <f>60*60*24*7</f>
        <v>604800</v>
      </c>
      <c r="AY12" s="18">
        <f>60*60*24*21</f>
        <v>1814400</v>
      </c>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1"/>
      <c r="CS12" s="1"/>
      <c r="CT12" s="1"/>
      <c r="CU12" s="1"/>
    </row>
    <row r="13" spans="1:99" s="9" customFormat="1" ht="12" customHeight="1" x14ac:dyDescent="0.25">
      <c r="A13" s="37">
        <v>43899</v>
      </c>
      <c r="B13" s="1" t="s">
        <v>97</v>
      </c>
      <c r="C13" s="1" t="s">
        <v>98</v>
      </c>
      <c r="D13" s="32">
        <v>1981</v>
      </c>
      <c r="E13" s="41">
        <v>1</v>
      </c>
      <c r="F13" s="32">
        <v>48</v>
      </c>
      <c r="G13" s="32">
        <v>48</v>
      </c>
      <c r="H13" s="32" t="s">
        <v>14</v>
      </c>
      <c r="I13" s="32" t="s">
        <v>99</v>
      </c>
      <c r="J13" s="32" t="s">
        <v>134</v>
      </c>
      <c r="K13" s="32">
        <f>IF(J13="syllables",1,IF(J13="trigrams",2,IF(J13="strings",3,IF(J13="visual array",4,IF(J13="characters",5,IF(J13="letters",6,IF(J13="free forms",7,IF(J13="odors",8,IF(J13="words",9,IF(J13="pictures",10,IF(J13="object pictures",11,IF(J13="faces",12,IF(J13="names",13,IF(J13="idioms",14,IF(J13="grades",15,IF(J13="syllable-digit pairs",16,IF(J13="trigram-word pairs",17,IF(J13="word-digit pairs",18,IF(J13="English-Swahili pairs",19,IF(J13="spatial position",20,IF(J13="word pairs",21,IF(J13="word triads",22,IF(J13="generated words",23,IF(J13="word definition pairs",24,IF(J13="math problems",25,IF(J13="famous faces",26,IF(J13="famous names",27,IF(J13="famous voices",28,IF(J13="television programs",29,IF(J13="race horses",30,IF(J13="new vocabulary",31,IF(J13="sentences",32,IF(J13="concepts",33,IF(J13="ad slides",34,IF(J13="scenes",35,IF(J13="famous scenes",36,IF(J13="poems",37,IF(J13="walk",38,IF(J13="faces and events",39,IF(J13="events and names",40,IF(J13="flashbulb",41,IF(J13="stories",42,IF(J13="course material",43,IF(J13="autobiographical",44,IF(J13="novels",45,IF(J13="public events",46,"99"))))))))))))))))))))))))))))))))))))))))))))))</f>
        <v>42</v>
      </c>
      <c r="L13" s="32">
        <f>IF(J13="syllables",1,IF(J13="trigrams",1,IF(J13="strings",1,IF(J13="visual array",1,IF(J13="characters",1,IF(J13="letters",1,IF(J13="free forms",1,IF(J13="odors",2,IF(J13="words",2,IF(J13="pictures",2,IF(J13="object pictures",2,IF(J13="faces",2,IF(J13="names",2,IF(J13="idioms","2",IF(J13="grades",2,IF(J13="syllable-digit pairs",3,IF(J13="trigram-word pairs",3,IF(J13="word-digit pairs",3,IF(J13="English-Swahili pairs",3,IF(J13="spatial position",3,IF(J13="word pairs",4,IF(J13="word triads",4,IF(J13="generated words",4,IF(J13="word definition pairs",4,IF(J13="math problems",4,IF(J13="famous faces",4,IF(J13="famous names",4,IF(J13="famous voices",4,IF(J13="television programs",4,IF(J13="race horses",4,IF(J13="new vocabulary",4,IF(J13="sentences",5,IF(J13="concepts",5,IF(J13="ad slides",5,IF(J13="scenes",5,IF(J13="famous scenes",5,IF(J13="poems",6,IF(J13="walk",6,IF(J13="faces and events",6,IF(J13="events and names",6,IF(J13="flashbulb",7,IF(J13="stories",7,IF(J13="course material",7,IF(J13="autobiographical",7,IF(J13="novels",7,IF(J13="public events",7,"99"))))))))))))))))))))))))))))))))))))))))))))))</f>
        <v>7</v>
      </c>
      <c r="M13" s="32">
        <v>0</v>
      </c>
      <c r="N13" s="32">
        <v>3</v>
      </c>
      <c r="O13" s="32">
        <v>0</v>
      </c>
      <c r="P13" s="32"/>
      <c r="Q13" s="32" t="s">
        <v>18</v>
      </c>
      <c r="R13" s="32">
        <f>IF(Q13="Free Recall",1,IF(Q13="Cued Recall",2,IF(Q13="Recognition",3,IF(Q13="Multiple Choice",4,IF(Q13="Savings",5,IF(Q13="Stem Completion",6,IF(Q13="Fragment Completion",7,IF(Q13="anagram solution",8,IF(Q13="Matching",9,IF(Q13="Problem Solving",10,"99"))))))))))</f>
        <v>3</v>
      </c>
      <c r="S13" s="31" t="s">
        <v>196</v>
      </c>
      <c r="T13" s="31" t="s">
        <v>132</v>
      </c>
      <c r="U13" s="32">
        <f>IF(T13="within",1,0)</f>
        <v>1</v>
      </c>
      <c r="V13" s="31">
        <v>64</v>
      </c>
      <c r="W13" s="32">
        <f>F13*V13</f>
        <v>3072</v>
      </c>
      <c r="X13" s="32">
        <v>4</v>
      </c>
      <c r="Y13" s="41">
        <f>AV12</f>
        <v>1800</v>
      </c>
      <c r="Z13" s="32" t="s">
        <v>56</v>
      </c>
      <c r="AA13" s="32">
        <v>1814400</v>
      </c>
      <c r="AB13" s="32" t="str">
        <f>IF(AA13&lt;60,"1",IF(AA13&lt;=43200,"2",IF(AA13&lt;=777600,"3","4")))</f>
        <v>4</v>
      </c>
      <c r="AC13" s="28">
        <f>AVERAGE(AV12:DA12)</f>
        <v>648450</v>
      </c>
      <c r="AD13" s="32" t="str">
        <f>IF(AC13&lt;60,"1",IF(AC13&lt;=43200,"2",IF(AC13&lt;=777600,"3","4")))</f>
        <v>3</v>
      </c>
      <c r="AE13" s="41">
        <f>AA13-Y13</f>
        <v>1812600</v>
      </c>
      <c r="AF13" s="45">
        <f>AV13</f>
        <v>0.621</v>
      </c>
      <c r="AG13" s="28">
        <f>((AW13-AV13)+(AX13-AW13)+(AY13-AX13))/3</f>
        <v>-0.18000000000000002</v>
      </c>
      <c r="AH13" s="4"/>
      <c r="AI13" s="28">
        <f>RSQ(AV13:AY13,AV12:AY12)</f>
        <v>0.88567792862589612</v>
      </c>
      <c r="AJ13" s="51">
        <f>SLOPE(AV13:AY13,AV12:AY12)</f>
        <v>-3.0460858394646368E-7</v>
      </c>
      <c r="AK13" s="28">
        <f>INTERCEPT(AV13:AY13,AV12:AY12)</f>
        <v>0.59652343626008442</v>
      </c>
      <c r="AL13" s="28">
        <f>INDEX(LINEST(LN(AV13:AY13),LN(AV12:AY12),TRUE,TRUE),3,1)</f>
        <v>0.5472335725809494</v>
      </c>
      <c r="AM13" s="28">
        <f>INDEX(LINEST(LN(AV13:AY13),LN(AV12:AY12)),1)</f>
        <v>-0.23339505230936583</v>
      </c>
      <c r="AN13" s="28">
        <f>EXP(INDEX(LINEST(LN(AV13:AY13),LN(AV12:AY12)),1,2))</f>
        <v>4.8141587072568353</v>
      </c>
      <c r="AO13" s="47">
        <f>INDEX(LINEST((AV13:AY13),LN(AV12:AY12),TRUE,TRUE),3,1)</f>
        <v>0.62598107301864514</v>
      </c>
      <c r="AP13" s="47">
        <f>INDEX(LINEST((AV13:AY13),LN(AV12:AY12)),1)</f>
        <v>-6.8908632532575426E-2</v>
      </c>
      <c r="AQ13" s="48">
        <f>INDEX(LINEST(LN(AV13:AY13),SQRT(AV12:AY12),TRUE,TRUE),3,1)</f>
        <v>0.91686111498518119</v>
      </c>
      <c r="AR13" s="56">
        <f>INDEX(LINEST(LN(AV13:AY13),SQRT((AV12:AY12))),1)</f>
        <v>-1.65227211970749E-3</v>
      </c>
      <c r="AS13" s="49">
        <f>INDEX(LINEST(1/(AV13:AY13),1/(SQRT(AV12:AY12)),TRUE,TRUE),3,1)</f>
        <v>0.21266075324897332</v>
      </c>
      <c r="AT13" s="49">
        <f>INDEX(LINEST(1/(AV13:AY13),1/SQRT(AV12:AY12)),1)</f>
        <v>-213.39604644660105</v>
      </c>
      <c r="AU13" s="3"/>
      <c r="AV13" s="25">
        <v>0.621</v>
      </c>
      <c r="AW13" s="25">
        <v>0.61299999999999999</v>
      </c>
      <c r="AX13" s="25">
        <v>0.28100000000000003</v>
      </c>
      <c r="AY13" s="25">
        <v>8.1000000000000003E-2</v>
      </c>
      <c r="AZ13" s="25"/>
      <c r="BA13" s="57"/>
      <c r="BB13" s="57"/>
      <c r="BC13" s="109"/>
      <c r="BD13" s="109"/>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1"/>
      <c r="CS13" s="1"/>
      <c r="CT13" s="1"/>
      <c r="CU13" s="1"/>
    </row>
    <row r="14" spans="1:99" s="9" customFormat="1" ht="12" customHeight="1" x14ac:dyDescent="0.2">
      <c r="A14" s="37">
        <v>43899</v>
      </c>
      <c r="B14" s="1"/>
      <c r="C14" s="1"/>
      <c r="D14" s="32"/>
      <c r="E14" s="41"/>
      <c r="F14" s="32"/>
      <c r="G14" s="32"/>
      <c r="H14" s="32"/>
      <c r="I14" s="32"/>
      <c r="J14" s="32"/>
      <c r="K14" s="36"/>
      <c r="L14" s="36"/>
      <c r="M14" s="32"/>
      <c r="N14" s="32"/>
      <c r="O14" s="32"/>
      <c r="P14" s="32"/>
      <c r="Q14" s="32"/>
      <c r="R14" s="32"/>
      <c r="S14" s="32"/>
      <c r="T14" s="32"/>
      <c r="U14" s="32"/>
      <c r="V14" s="32"/>
      <c r="W14" s="32"/>
      <c r="X14" s="32"/>
      <c r="Y14" s="41"/>
      <c r="Z14" s="32"/>
      <c r="AA14" s="32"/>
      <c r="AB14" s="32"/>
      <c r="AC14" s="28"/>
      <c r="AD14" s="32"/>
      <c r="AE14" s="32"/>
      <c r="AF14" s="45"/>
      <c r="AG14" s="28"/>
      <c r="AH14" s="4"/>
      <c r="AI14" s="28"/>
      <c r="AJ14" s="51"/>
      <c r="AK14" s="28"/>
      <c r="AL14" s="28"/>
      <c r="AM14" s="28"/>
      <c r="AN14" s="28"/>
      <c r="AO14" s="47"/>
      <c r="AP14" s="47"/>
      <c r="AQ14" s="48"/>
      <c r="AR14" s="56"/>
      <c r="AS14" s="49"/>
      <c r="AT14" s="49"/>
      <c r="AU14" s="3"/>
      <c r="AV14" s="18">
        <f>30*60</f>
        <v>1800</v>
      </c>
      <c r="AW14" s="18">
        <f>60*60*24*2</f>
        <v>172800</v>
      </c>
      <c r="AX14" s="18">
        <f>60*60*24*7</f>
        <v>604800</v>
      </c>
      <c r="AY14" s="18">
        <f>60*60*24*21</f>
        <v>1814400</v>
      </c>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1"/>
      <c r="CS14" s="1"/>
      <c r="CT14" s="1"/>
      <c r="CU14" s="1"/>
    </row>
    <row r="15" spans="1:99" s="9" customFormat="1" ht="12" customHeight="1" x14ac:dyDescent="0.25">
      <c r="A15" s="37">
        <v>43899</v>
      </c>
      <c r="B15" s="1" t="s">
        <v>97</v>
      </c>
      <c r="C15" s="1" t="s">
        <v>98</v>
      </c>
      <c r="D15" s="32">
        <v>1981</v>
      </c>
      <c r="E15" s="41">
        <v>1</v>
      </c>
      <c r="F15" s="32">
        <v>48</v>
      </c>
      <c r="G15" s="32">
        <v>48</v>
      </c>
      <c r="H15" s="32" t="s">
        <v>14</v>
      </c>
      <c r="I15" s="32" t="s">
        <v>100</v>
      </c>
      <c r="J15" s="32" t="s">
        <v>134</v>
      </c>
      <c r="K15" s="32">
        <f>IF(J15="syllables",1,IF(J15="trigrams",2,IF(J15="strings",3,IF(J15="visual array",4,IF(J15="characters",5,IF(J15="letters",6,IF(J15="free forms",7,IF(J15="odors",8,IF(J15="words",9,IF(J15="pictures",10,IF(J15="object pictures",11,IF(J15="faces",12,IF(J15="names",13,IF(J15="idioms",14,IF(J15="grades",15,IF(J15="syllable-digit pairs",16,IF(J15="trigram-word pairs",17,IF(J15="word-digit pairs",18,IF(J15="English-Swahili pairs",19,IF(J15="spatial position",20,IF(J15="word pairs",21,IF(J15="word triads",22,IF(J15="generated words",23,IF(J15="word definition pairs",24,IF(J15="math problems",25,IF(J15="famous faces",26,IF(J15="famous names",27,IF(J15="famous voices",28,IF(J15="television programs",29,IF(J15="race horses",30,IF(J15="new vocabulary",31,IF(J15="sentences",32,IF(J15="concepts",33,IF(J15="ad slides",34,IF(J15="scenes",35,IF(J15="famous scenes",36,IF(J15="poems",37,IF(J15="walk",38,IF(J15="faces and events",39,IF(J15="events and names",40,IF(J15="flashbulb",41,IF(J15="stories",42,IF(J15="course material",43,IF(J15="autobiographical",44,IF(J15="novels",45,IF(J15="public events",46,"99"))))))))))))))))))))))))))))))))))))))))))))))</f>
        <v>42</v>
      </c>
      <c r="L15" s="32">
        <f>IF(J15="syllables",1,IF(J15="trigrams",1,IF(J15="strings",1,IF(J15="visual array",1,IF(J15="characters",1,IF(J15="letters",1,IF(J15="free forms",1,IF(J15="odors",2,IF(J15="words",2,IF(J15="pictures",2,IF(J15="object pictures",2,IF(J15="faces",2,IF(J15="names",2,IF(J15="idioms","2",IF(J15="grades",2,IF(J15="syllable-digit pairs",3,IF(J15="trigram-word pairs",3,IF(J15="word-digit pairs",3,IF(J15="English-Swahili pairs",3,IF(J15="spatial position",3,IF(J15="word pairs",4,IF(J15="word triads",4,IF(J15="generated words",4,IF(J15="word definition pairs",4,IF(J15="math problems",4,IF(J15="famous faces",4,IF(J15="famous names",4,IF(J15="famous voices",4,IF(J15="television programs",4,IF(J15="race horses",4,IF(J15="new vocabulary",4,IF(J15="sentences",5,IF(J15="concepts",5,IF(J15="ad slides",5,IF(J15="scenes",5,IF(J15="famous scenes",5,IF(J15="poems",6,IF(J15="walk",6,IF(J15="faces and events",6,IF(J15="events and names",6,IF(J15="flashbulb",7,IF(J15="stories",7,IF(J15="course material",7,IF(J15="autobiographical",7,IF(J15="novels",7,IF(J15="public events",7,"99"))))))))))))))))))))))))))))))))))))))))))))))</f>
        <v>7</v>
      </c>
      <c r="M15" s="32">
        <v>0</v>
      </c>
      <c r="N15" s="32">
        <v>3</v>
      </c>
      <c r="O15" s="32">
        <v>0</v>
      </c>
      <c r="P15" s="32"/>
      <c r="Q15" s="32" t="s">
        <v>18</v>
      </c>
      <c r="R15" s="32">
        <f>IF(Q15="Free Recall",1,IF(Q15="Cued Recall",2,IF(Q15="Recognition",3,IF(Q15="Multiple Choice",4,IF(Q15="Savings",5,IF(Q15="Stem Completion",6,IF(Q15="Fragment Completion",7,IF(Q15="anagram solution",8,IF(Q15="Matching",9,IF(Q15="Problem Solving",10,"99"))))))))))</f>
        <v>3</v>
      </c>
      <c r="S15" s="31" t="s">
        <v>196</v>
      </c>
      <c r="T15" s="31" t="s">
        <v>132</v>
      </c>
      <c r="U15" s="32">
        <f>IF(T15="within",1,0)</f>
        <v>1</v>
      </c>
      <c r="V15" s="31">
        <v>64</v>
      </c>
      <c r="W15" s="32">
        <f>F15*V15</f>
        <v>3072</v>
      </c>
      <c r="X15" s="32">
        <v>4</v>
      </c>
      <c r="Y15" s="41">
        <f>AV14</f>
        <v>1800</v>
      </c>
      <c r="Z15" s="32" t="s">
        <v>56</v>
      </c>
      <c r="AA15" s="32">
        <v>1814400</v>
      </c>
      <c r="AB15" s="32" t="str">
        <f>IF(AA15&lt;60,"1",IF(AA15&lt;=43200,"2",IF(AA15&lt;=777600,"3","4")))</f>
        <v>4</v>
      </c>
      <c r="AC15" s="28">
        <f>AVERAGE(AV14:DA14)</f>
        <v>648450</v>
      </c>
      <c r="AD15" s="32" t="str">
        <f>IF(AC15&lt;60,"1",IF(AC15&lt;=43200,"2",IF(AC15&lt;=777600,"3","4")))</f>
        <v>3</v>
      </c>
      <c r="AE15" s="41">
        <f>AA15-Y15</f>
        <v>1812600</v>
      </c>
      <c r="AF15" s="45">
        <f>AV15</f>
        <v>1.619</v>
      </c>
      <c r="AG15" s="28">
        <f>((AW15-AV15)+(AX15-AW15)+(AY15-AX15))/3</f>
        <v>-0.35866666666666669</v>
      </c>
      <c r="AH15" s="4"/>
      <c r="AI15" s="28">
        <f>RSQ(AV15:AY15,AV14:AY14)</f>
        <v>0.77405323041174723</v>
      </c>
      <c r="AJ15" s="51">
        <f>SLOPE(AV15:AY15,AV14:AY14)</f>
        <v>-4.7367852606225331E-7</v>
      </c>
      <c r="AK15" s="28">
        <f>INTERCEPT(AV15:AY15,AV14:AY14)</f>
        <v>1.3631568402250682</v>
      </c>
      <c r="AL15" s="28">
        <f>INDEX(LINEST(LN(AV15:AY15),LN(AV14:AY14),TRUE,TRUE),3,1)</f>
        <v>0.77899535003621601</v>
      </c>
      <c r="AM15" s="28">
        <f>INDEX(LINEST(LN(AV15:AY15),LN(AV14:AY14)),1)</f>
        <v>-0.13051652649325521</v>
      </c>
      <c r="AN15" s="28">
        <f>EXP(INDEX(LINEST(LN(AV15:AY15),LN(AV14:AY14)),1,2))</f>
        <v>4.5985383070192345</v>
      </c>
      <c r="AO15" s="47">
        <f>INDEX(LINEST((AV15:AY15),LN(AV14:AY14),TRUE,TRUE),3,1)</f>
        <v>0.90123138000251513</v>
      </c>
      <c r="AP15" s="47">
        <f>INDEX(LINEST((AV15:AY15),LN(AV14:AY14)),1)</f>
        <v>-0.13753246890885878</v>
      </c>
      <c r="AQ15" s="48">
        <f>INDEX(LINEST(LN(AV15:AY15),SQRT(AV14:AY14),TRUE,TRUE),3,1)</f>
        <v>0.93079506348010388</v>
      </c>
      <c r="AR15" s="56">
        <f>INDEX(LINEST(LN(AV15:AY15),SQRT((AV14:AY14))),1)</f>
        <v>-7.802784796588965E-4</v>
      </c>
      <c r="AS15" s="49">
        <f>INDEX(LINEST(1/(AV15:AY15),1/(SQRT(AV14:AY14)),TRUE,TRUE),3,1)</f>
        <v>0.42514709343747298</v>
      </c>
      <c r="AT15" s="49">
        <f>INDEX(LINEST(1/(AV15:AY15),1/SQRT(AV14:AY14)),1)</f>
        <v>-30.734206867555379</v>
      </c>
      <c r="AU15" s="3"/>
      <c r="AV15" s="25">
        <v>1.619</v>
      </c>
      <c r="AW15" s="25">
        <v>1.0329999999999999</v>
      </c>
      <c r="AX15" s="25">
        <v>1.0289999999999999</v>
      </c>
      <c r="AY15" s="25">
        <v>0.54300000000000004</v>
      </c>
      <c r="AZ15" s="25"/>
      <c r="BA15" s="57"/>
      <c r="BB15" s="57"/>
      <c r="BC15" s="109"/>
      <c r="BD15" s="109"/>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1"/>
      <c r="CS15" s="1"/>
      <c r="CT15" s="1"/>
      <c r="CU15" s="1"/>
    </row>
    <row r="16" spans="1:99" s="9" customFormat="1" ht="12" customHeight="1" x14ac:dyDescent="0.2">
      <c r="A16" s="37">
        <v>43509</v>
      </c>
      <c r="B16" s="1"/>
      <c r="C16" s="1"/>
      <c r="D16" s="32"/>
      <c r="E16" s="41"/>
      <c r="F16" s="32"/>
      <c r="G16" s="32"/>
      <c r="H16" s="32"/>
      <c r="I16" s="32"/>
      <c r="J16" s="32"/>
      <c r="K16" s="36"/>
      <c r="L16" s="36"/>
      <c r="M16" s="32"/>
      <c r="N16" s="32"/>
      <c r="O16" s="32"/>
      <c r="P16" s="32"/>
      <c r="Q16" s="32"/>
      <c r="R16" s="32"/>
      <c r="S16" s="32"/>
      <c r="T16" s="32"/>
      <c r="U16" s="32"/>
      <c r="V16" s="32"/>
      <c r="W16" s="32"/>
      <c r="X16" s="32"/>
      <c r="Y16" s="41"/>
      <c r="Z16" s="32"/>
      <c r="AA16" s="32"/>
      <c r="AB16" s="32"/>
      <c r="AC16" s="32"/>
      <c r="AD16" s="32"/>
      <c r="AE16" s="32"/>
      <c r="AF16" s="45"/>
      <c r="AG16" s="28"/>
      <c r="AH16" s="4"/>
      <c r="AI16" s="28"/>
      <c r="AJ16" s="51"/>
      <c r="AK16" s="28"/>
      <c r="AL16" s="28"/>
      <c r="AM16" s="28"/>
      <c r="AN16" s="28"/>
      <c r="AO16" s="28"/>
      <c r="AP16" s="28"/>
      <c r="AQ16" s="28"/>
      <c r="AR16" s="51"/>
      <c r="AS16" s="28"/>
      <c r="AT16" s="28"/>
      <c r="AU16" s="4"/>
      <c r="AV16" s="18">
        <v>15</v>
      </c>
      <c r="AW16" s="18">
        <v>300</v>
      </c>
      <c r="AX16" s="18">
        <v>900</v>
      </c>
      <c r="AY16" s="18">
        <v>1800</v>
      </c>
      <c r="AZ16" s="18">
        <v>3600</v>
      </c>
      <c r="BA16" s="18">
        <v>7200</v>
      </c>
      <c r="BB16" s="18">
        <v>14400</v>
      </c>
      <c r="BC16" s="18">
        <v>28800</v>
      </c>
      <c r="BD16" s="18">
        <v>43200</v>
      </c>
      <c r="BE16" s="18">
        <v>86400</v>
      </c>
      <c r="BF16" s="18">
        <v>172800</v>
      </c>
      <c r="BG16" s="25">
        <v>345600</v>
      </c>
      <c r="BH16" s="25">
        <v>604800</v>
      </c>
      <c r="BI16" s="25">
        <v>3628800</v>
      </c>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1"/>
      <c r="CS16" s="1"/>
      <c r="CT16" s="1"/>
      <c r="CU16" s="1"/>
    </row>
    <row r="17" spans="1:99" s="9" customFormat="1" ht="12" customHeight="1" x14ac:dyDescent="0.2">
      <c r="A17" s="37">
        <v>43509</v>
      </c>
      <c r="B17" s="1" t="s">
        <v>46</v>
      </c>
      <c r="C17" s="1" t="s">
        <v>47</v>
      </c>
      <c r="D17" s="32">
        <v>1913</v>
      </c>
      <c r="E17" s="41">
        <v>1</v>
      </c>
      <c r="F17" s="32">
        <v>5</v>
      </c>
      <c r="G17" s="32">
        <v>5</v>
      </c>
      <c r="H17" s="32" t="s">
        <v>115</v>
      </c>
      <c r="I17" s="32"/>
      <c r="J17" s="32" t="s">
        <v>12</v>
      </c>
      <c r="K17" s="32">
        <f>IF(J17="syllables",1,IF(J17="trigrams",2,IF(J17="strings",3,IF(J17="visual array",4,IF(J17="characters",5,IF(J17="letters",6,IF(J17="free forms",7,IF(J17="odors",8,IF(J17="words",9,IF(J17="pictures",10,IF(J17="object pictures",11,IF(J17="faces",12,IF(J17="names",13,IF(J17="idioms",14,IF(J17="grades",15,IF(J17="syllable-digit pairs",16,IF(J17="trigram-word pairs",17,IF(J17="word-digit pairs",18,IF(J17="English-Swahili pairs",19,IF(J17="spatial position",20,IF(J17="word pairs",21,IF(J17="word triads",22,IF(J17="generated words",23,IF(J17="word definition pairs",24,IF(J17="math problems",25,IF(J17="famous faces",26,IF(J17="famous names",27,IF(J17="famous voices",28,IF(J17="television programs",29,IF(J17="race horses",30,IF(J17="new vocabulary",31,IF(J17="sentences",32,IF(J17="concepts",33,IF(J17="ad slides",34,IF(J17="scenes",35,IF(J17="famous scenes",36,IF(J17="poems",37,IF(J17="walk",38,IF(J17="faces and events",39,IF(J17="events and names",40,IF(J17="flashbulb",41,IF(J17="stories",42,IF(J17="course material",43,IF(J17="autobiographical",44,IF(J17="novels",45,IF(J17="public events",46,"99"))))))))))))))))))))))))))))))))))))))))))))))</f>
        <v>9</v>
      </c>
      <c r="L17" s="32">
        <f>IF(J17="syllables",1,IF(J17="trigrams",1,IF(J17="strings",1,IF(J17="visual array",1,IF(J17="characters",1,IF(J17="letters",1,IF(J17="free forms",1,IF(J17="odors",2,IF(J17="words",2,IF(J17="pictures",2,IF(J17="object pictures",2,IF(J17="faces",2,IF(J17="names",2,IF(J17="idioms","2",IF(J17="grades",2,IF(J17="syllable-digit pairs",3,IF(J17="trigram-word pairs",3,IF(J17="word-digit pairs",3,IF(J17="English-Swahili pairs",3,IF(J17="spatial position",3,IF(J17="word pairs",4,IF(J17="word triads",4,IF(J17="generated words",4,IF(J17="word definition pairs",4,IF(J17="math problems",4,IF(J17="famous faces",4,IF(J17="famous names",4,IF(J17="famous voices",4,IF(J17="television programs",4,IF(J17="race horses",4,IF(J17="new vocabulary",4,IF(J17="sentences",5,IF(J17="concepts",5,IF(J17="ad slides",5,IF(J17="scenes",5,IF(J17="famous scenes",5,IF(J17="poems",6,IF(J17="walk",6,IF(J17="faces and events",6,IF(J17="events and names",6,IF(J17="flashbulb",7,IF(J17="stories",7,IF(J17="course material",7,IF(J17="autobiographical",7,IF(J17="novels",7,IF(J17="public events",7,"99"))))))))))))))))))))))))))))))))))))))))))))))</f>
        <v>2</v>
      </c>
      <c r="M17" s="32">
        <v>0</v>
      </c>
      <c r="N17" s="32">
        <v>1</v>
      </c>
      <c r="O17" s="32">
        <v>1</v>
      </c>
      <c r="P17" s="32" t="s">
        <v>48</v>
      </c>
      <c r="Q17" s="32" t="s">
        <v>18</v>
      </c>
      <c r="R17" s="32">
        <f>IF(Q17="Free Recall",1,IF(Q17="Cued Recall",2,IF(Q17="Recognition",3,IF(Q17="Multiple Choice",4,IF(Q17="Savings",5,IF(Q17="Stem Completion",6,IF(Q17="Fragment Completion",7,IF(Q17="anagram solution",8,IF(Q17="Matching",9,IF(Q17="Problem Solving",10,"99"))))))))))</f>
        <v>3</v>
      </c>
      <c r="S17" s="31" t="s">
        <v>196</v>
      </c>
      <c r="T17" s="31" t="s">
        <v>132</v>
      </c>
      <c r="U17" s="32">
        <f>IF(T17="within",1,0)</f>
        <v>1</v>
      </c>
      <c r="V17" s="31">
        <v>80</v>
      </c>
      <c r="W17" s="32">
        <f>F17*V17</f>
        <v>400</v>
      </c>
      <c r="X17" s="32">
        <v>14</v>
      </c>
      <c r="Y17" s="41">
        <f>AV16</f>
        <v>15</v>
      </c>
      <c r="Z17" s="32" t="s">
        <v>50</v>
      </c>
      <c r="AA17" s="32">
        <v>3628800</v>
      </c>
      <c r="AB17" s="32" t="str">
        <f>IF(AA17&lt;60,"1",IF(AA17&lt;=43200,"2",IF(AA17&lt;=777600,"3","4")))</f>
        <v>4</v>
      </c>
      <c r="AC17" s="28">
        <f>AVERAGE(AV16:DA16)</f>
        <v>352758.21428571426</v>
      </c>
      <c r="AD17" s="32" t="str">
        <f>IF(AC17&lt;60,"1",IF(AC17&lt;=43200,"2",IF(AC17&lt;=777600,"3","4")))</f>
        <v>3</v>
      </c>
      <c r="AE17" s="41">
        <f>AA17-Y17</f>
        <v>3628785</v>
      </c>
      <c r="AF17" s="45">
        <f>AV17</f>
        <v>2.763830336836715</v>
      </c>
      <c r="AG17" s="28">
        <f>((AW17-AV17)+(AX17-AW17)+(AY17-AX17)+(AZ17-AY17)+(BA17-AZ17)+(BB17-BA17)+(BC17-BB17)+(BD17-BC17)+(BE17-BD17)+(BF17-BE17)+(BG17-BF17)+(BH17-BG17)+(BI17-BH17))/13</f>
        <v>-0.18350719109931768</v>
      </c>
      <c r="AH17" s="4"/>
      <c r="AI17" s="28">
        <f>RSQ(AV17:BI17,AV16:BI16)</f>
        <v>0.22876828550649431</v>
      </c>
      <c r="AJ17" s="51">
        <f>SLOPE(AV17:BI17,AV16:BI16)</f>
        <v>-3.3963024176664068E-7</v>
      </c>
      <c r="AK17" s="28">
        <f>INTERCEPT(AV17:BI17,AV16:BI16)</f>
        <v>1.3730963601611619</v>
      </c>
      <c r="AL17" s="28" cm="1">
        <f t="array" ref="AL17">INDEX(LINEST(LN(AV17:BI17),LN(AV16:BI16),TRUE,TRUE),3,1)</f>
        <v>0.89799678359320734</v>
      </c>
      <c r="AM17" s="28" cm="1">
        <f t="array" ref="AM17">_xlfn.SINGLE(INDEX(LINEST(LN(AV17:BI17),LN(AV16:BI16)),1))</f>
        <v>-0.17446648100447038</v>
      </c>
      <c r="AN17" s="28" cm="1">
        <f t="array" ref="AN17">EXP(INDEX(LINEST(LN(AV17:BI17),LN(AV16:BI16)),1,2))</f>
        <v>5.7649256663540909</v>
      </c>
      <c r="AO17" s="47" cm="1">
        <f t="array" ref="AO17">INDEX(LINEST((AV17:BI17),LN(AV16:BI16),TRUE,TRUE),3,1)</f>
        <v>0.96023944899125246</v>
      </c>
      <c r="AP17" s="47" cm="1">
        <f t="array" ref="AP17">_xlfn.SINGLE(INDEX(LINEST((AV17:BI17),LN(AV16:BI16)),1))</f>
        <v>-0.20171064150453347</v>
      </c>
      <c r="AQ17" s="48" cm="1">
        <f t="array" ref="AQ17">INDEX(LINEST(LN(AV17:BI17),SQRT(AV16:BI16),TRUE,TRUE),3,1)</f>
        <v>0.65840451018666968</v>
      </c>
      <c r="AR17" s="56" cm="1">
        <f t="array" ref="AR17">_xlfn.SINGLE(INDEX(LINEST(LN(AV17:BI17),SQRT((AV16:BI16))),1))</f>
        <v>-9.7339215806743133E-4</v>
      </c>
      <c r="AS17" s="49" cm="1">
        <f t="array" ref="AS17">INDEX(LINEST(1/(AV17:BI17),1/(SQRT(AV16:BI16)),TRUE,TRUE),3,1)</f>
        <v>0.1682838412581201</v>
      </c>
      <c r="AT17" s="49" cm="1">
        <f t="array" ref="AT17">_xlfn.SINGLE(INDEX(LINEST(1/(AV17:BI17),1/SQRT(AV16:BI16)),1))</f>
        <v>-4.6548244805984753</v>
      </c>
      <c r="AU17" s="3"/>
      <c r="AV17" s="25">
        <v>2.763830336836715</v>
      </c>
      <c r="AW17" s="25">
        <v>2.160638681629913</v>
      </c>
      <c r="AX17" s="25">
        <v>1.7083817834502564</v>
      </c>
      <c r="AY17" s="25">
        <v>1.6163171617541385</v>
      </c>
      <c r="AZ17" s="25">
        <v>1.5208540854994377</v>
      </c>
      <c r="BA17" s="25">
        <v>1.186542737393125</v>
      </c>
      <c r="BB17" s="25">
        <v>1.4126051256801748</v>
      </c>
      <c r="BC17" s="25">
        <v>1.1656830145424326</v>
      </c>
      <c r="BD17" s="25">
        <v>1.1479048371371467</v>
      </c>
      <c r="BE17" s="25">
        <v>0.71692014759208744</v>
      </c>
      <c r="BF17" s="25">
        <v>0.75177711596125441</v>
      </c>
      <c r="BG17" s="25">
        <v>0.6610593307394681</v>
      </c>
      <c r="BH17" s="25">
        <v>0.3552948250521733</v>
      </c>
      <c r="BI17" s="25">
        <v>0.37823685254558498</v>
      </c>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1"/>
      <c r="CS17" s="1"/>
      <c r="CT17" s="1"/>
      <c r="CU17" s="1"/>
    </row>
    <row r="18" spans="1:99" s="9" customFormat="1" ht="12" customHeight="1" x14ac:dyDescent="0.2">
      <c r="A18" s="37">
        <v>43509</v>
      </c>
      <c r="B18" s="1"/>
      <c r="C18" s="1"/>
      <c r="D18" s="32"/>
      <c r="E18" s="41"/>
      <c r="F18" s="32"/>
      <c r="G18" s="32"/>
      <c r="H18" s="32"/>
      <c r="I18" s="32"/>
      <c r="J18" s="32"/>
      <c r="K18" s="36"/>
      <c r="L18" s="36"/>
      <c r="M18" s="32"/>
      <c r="N18" s="32"/>
      <c r="O18" s="32"/>
      <c r="P18" s="32"/>
      <c r="Q18" s="32"/>
      <c r="R18" s="32"/>
      <c r="S18" s="32"/>
      <c r="T18" s="32"/>
      <c r="U18" s="32"/>
      <c r="V18" s="32"/>
      <c r="W18" s="32"/>
      <c r="X18" s="32"/>
      <c r="Y18" s="41"/>
      <c r="Z18" s="32"/>
      <c r="AA18" s="32"/>
      <c r="AB18" s="32"/>
      <c r="AC18" s="32"/>
      <c r="AD18" s="32"/>
      <c r="AE18" s="32"/>
      <c r="AF18" s="45"/>
      <c r="AG18" s="28"/>
      <c r="AH18" s="4"/>
      <c r="AI18" s="28"/>
      <c r="AJ18" s="51"/>
      <c r="AK18" s="28"/>
      <c r="AL18" s="28"/>
      <c r="AM18" s="28"/>
      <c r="AN18" s="28"/>
      <c r="AO18" s="28"/>
      <c r="AP18" s="28"/>
      <c r="AQ18" s="28"/>
      <c r="AR18" s="51"/>
      <c r="AS18" s="28"/>
      <c r="AT18" s="28"/>
      <c r="AU18" s="4"/>
      <c r="AV18" s="18">
        <f>24*60*60</f>
        <v>86400</v>
      </c>
      <c r="AW18" s="18">
        <f>2*24*60*60</f>
        <v>172800</v>
      </c>
      <c r="AX18" s="18">
        <f>30*24*60*60</f>
        <v>2592000</v>
      </c>
      <c r="AY18" s="18">
        <f>90*24*60*60</f>
        <v>7776000</v>
      </c>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1"/>
      <c r="CS18" s="1"/>
      <c r="CT18" s="1"/>
      <c r="CU18" s="1"/>
    </row>
    <row r="19" spans="1:99" s="9" customFormat="1" ht="12" customHeight="1" x14ac:dyDescent="0.2">
      <c r="A19" s="37">
        <v>43509</v>
      </c>
      <c r="B19" s="17" t="s">
        <v>66</v>
      </c>
      <c r="C19" s="1" t="s">
        <v>67</v>
      </c>
      <c r="D19" s="32">
        <v>2006</v>
      </c>
      <c r="E19" s="41">
        <v>1</v>
      </c>
      <c r="F19" s="32">
        <v>22</v>
      </c>
      <c r="G19" s="32">
        <v>22</v>
      </c>
      <c r="H19" s="32" t="s">
        <v>154</v>
      </c>
      <c r="I19" s="32" t="s">
        <v>152</v>
      </c>
      <c r="J19" s="32" t="s">
        <v>82</v>
      </c>
      <c r="K19" s="32">
        <f>IF(J19="syllables",1,IF(J19="trigrams",2,IF(J19="strings",3,IF(J19="visual array",4,IF(J19="characters",5,IF(J19="letters",6,IF(J19="free forms",7,IF(J19="odors",8,IF(J19="words",9,IF(J19="pictures",10,IF(J19="object pictures",11,IF(J19="faces",12,IF(J19="names",13,IF(J19="idioms",14,IF(J19="grades",15,IF(J19="syllable-digit pairs",16,IF(J19="trigram-word pairs",17,IF(J19="word-digit pairs",18,IF(J19="English-Swahili pairs",19,IF(J19="spatial position",20,IF(J19="word pairs",21,IF(J19="word triads",22,IF(J19="generated words",23,IF(J19="word definition pairs",24,IF(J19="math problems",25,IF(J19="famous faces",26,IF(J19="famous names",27,IF(J19="famous voices",28,IF(J19="television programs",29,IF(J19="race horses",30,IF(J19="new vocabulary",31,IF(J19="sentences",32,IF(J19="concepts",33,IF(J19="ad slides",34,IF(J19="scenes",35,IF(J19="famous scenes",36,IF(J19="poems",37,IF(J19="walk",38,IF(J19="faces and events",39,IF(J19="events and names",40,IF(J19="flashbulb",41,IF(J19="stories",42,IF(J19="course material",43,IF(J19="autobiographical",44,IF(J19="novels",45,IF(J19="public events",46,"99"))))))))))))))))))))))))))))))))))))))))))))))</f>
        <v>10</v>
      </c>
      <c r="L19" s="32">
        <f>IF(J19="syllables",1,IF(J19="trigrams",1,IF(J19="strings",1,IF(J19="visual array",1,IF(J19="characters",1,IF(J19="letters",1,IF(J19="free forms",1,IF(J19="odors",2,IF(J19="words",2,IF(J19="pictures",2,IF(J19="object pictures",2,IF(J19="faces",2,IF(J19="names",2,IF(J19="idioms","2",IF(J19="grades",2,IF(J19="syllable-digit pairs",3,IF(J19="trigram-word pairs",3,IF(J19="word-digit pairs",3,IF(J19="English-Swahili pairs",3,IF(J19="spatial position",3,IF(J19="word pairs",4,IF(J19="word triads",4,IF(J19="generated words",4,IF(J19="word definition pairs",4,IF(J19="math problems",4,IF(J19="famous faces",4,IF(J19="famous names",4,IF(J19="famous voices",4,IF(J19="television programs",4,IF(J19="race horses",4,IF(J19="new vocabulary",4,IF(J19="sentences",5,IF(J19="concepts",5,IF(J19="ad slides",5,IF(J19="scenes",5,IF(J19="famous scenes",5,IF(J19="poems",6,IF(J19="walk",6,IF(J19="faces and events",6,IF(J19="events and names",6,IF(J19="flashbulb",7,IF(J19="stories",7,IF(J19="course material",7,IF(J19="autobiographical",7,IF(J19="novels",7,IF(J19="public events",7,"99"))))))))))))))))))))))))))))))))))))))))))))))</f>
        <v>2</v>
      </c>
      <c r="M19" s="32">
        <v>0</v>
      </c>
      <c r="N19" s="32">
        <v>1</v>
      </c>
      <c r="O19" s="32">
        <v>0</v>
      </c>
      <c r="P19" s="32"/>
      <c r="Q19" s="32" t="s">
        <v>18</v>
      </c>
      <c r="R19" s="32">
        <f>IF(Q19="Free Recall",1,IF(Q19="Cued Recall",2,IF(Q19="Recognition",3,IF(Q19="Multiple Choice",4,IF(Q19="Savings",5,IF(Q19="Stem Completion",6,IF(Q19="Fragment Completion",7,IF(Q19="anagram solution",8,IF(Q19="Matching",9,IF(Q19="Problem Solving",10,"99"))))))))))</f>
        <v>3</v>
      </c>
      <c r="S19" s="31" t="s">
        <v>196</v>
      </c>
      <c r="T19" s="31" t="s">
        <v>132</v>
      </c>
      <c r="U19" s="32">
        <f>IF(T19="within",1,0)</f>
        <v>1</v>
      </c>
      <c r="V19" s="31">
        <v>480</v>
      </c>
      <c r="W19" s="32">
        <f>F19*V19</f>
        <v>10560</v>
      </c>
      <c r="X19" s="32">
        <v>4</v>
      </c>
      <c r="Y19" s="41">
        <f>AV18</f>
        <v>86400</v>
      </c>
      <c r="Z19" s="32" t="s">
        <v>63</v>
      </c>
      <c r="AA19" s="32">
        <f>30*24*60*60*3</f>
        <v>7776000</v>
      </c>
      <c r="AB19" s="32" t="str">
        <f>IF(AA19&lt;60,"1",IF(AA19&lt;=43200,"2",IF(AA19&lt;=777600,"3","4")))</f>
        <v>4</v>
      </c>
      <c r="AC19" s="28">
        <f>AVERAGE(AV18:DA18)</f>
        <v>2656800</v>
      </c>
      <c r="AD19" s="32" t="str">
        <f>IF(AC19&lt;60,"1",IF(AC19&lt;=43200,"2",IF(AC19&lt;=777600,"3","4")))</f>
        <v>4</v>
      </c>
      <c r="AE19" s="41">
        <f>AA19-Y19</f>
        <v>7689600</v>
      </c>
      <c r="AF19" s="45">
        <f>AV19</f>
        <v>1.4</v>
      </c>
      <c r="AG19" s="28">
        <f>((AW19-AV19)+(AX19-AW19)+(AY19-AX19))/3</f>
        <v>-0.3</v>
      </c>
      <c r="AH19" s="4"/>
      <c r="AI19" s="28">
        <f>RSQ(AV19:AY19,AV18:AY18)</f>
        <v>0.81232353950647607</v>
      </c>
      <c r="AJ19" s="51">
        <f>SLOPE(AV19:AY19,AV18:AY18)</f>
        <v>-1.1063819791262231E-7</v>
      </c>
      <c r="AK19" s="28">
        <f>INTERCEPT(AV19:AY19,AV18:AY18)</f>
        <v>1.268943564214255</v>
      </c>
      <c r="AL19" s="28">
        <f>INDEX(LINEST(LN(AV19:AY19),LN(AV18:AY18),TRUE,TRUE),3,1)</f>
        <v>0.99029489486383748</v>
      </c>
      <c r="AM19" s="28">
        <f>INDEX(LINEST(LN(AV19:AY19),LN(AV18:AY18)),1)</f>
        <v>-0.22999800949898919</v>
      </c>
      <c r="AN19" s="28">
        <f>EXP(INDEX(LINEST(LN(AV19:AY19),LN(AV18:AY18)),1,2))</f>
        <v>20.000183328559373</v>
      </c>
      <c r="AO19" s="47">
        <f>INDEX(LINEST((AV19:AY19),LN(AV18:AY18),TRUE,TRUE),3,1)</f>
        <v>0.99775492305111202</v>
      </c>
      <c r="AP19" s="47">
        <f>INDEX(LINEST((AV19:AY19),LN(AV18:AY18)),1)</f>
        <v>-0.20586058239977972</v>
      </c>
      <c r="AQ19" s="48">
        <f>INDEX(LINEST(LN(AV19:AY19),SQRT(AV18:AY18),TRUE,TRUE),3,1)</f>
        <v>0.97929778893025743</v>
      </c>
      <c r="AR19" s="56">
        <f>INDEX(LINEST(LN(AV19:AY19),SQRT((AV18:AY18))),1)</f>
        <v>-4.198973739358851E-4</v>
      </c>
      <c r="AS19" s="49">
        <f>INDEX(LINEST(1/(AV19:AY19),1/(SQRT(AV18:AY18)),TRUE,TRUE),3,1)</f>
        <v>0.85008222022769087</v>
      </c>
      <c r="AT19" s="49">
        <f>INDEX(LINEST(1/(AV19:AY19),1/SQRT(AV18:AY18)),1)</f>
        <v>-385.33573364594264</v>
      </c>
      <c r="AU19" s="3"/>
      <c r="AV19" s="25">
        <v>1.4</v>
      </c>
      <c r="AW19" s="25">
        <v>1.3</v>
      </c>
      <c r="AX19" s="25">
        <v>0.7</v>
      </c>
      <c r="AY19" s="25">
        <v>0.5</v>
      </c>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1"/>
      <c r="CS19" s="1"/>
      <c r="CT19" s="1"/>
      <c r="CU19" s="1"/>
    </row>
    <row r="20" spans="1:99" s="9" customFormat="1" ht="12" customHeight="1" x14ac:dyDescent="0.2">
      <c r="A20" s="37">
        <v>43509</v>
      </c>
      <c r="B20" s="1"/>
      <c r="C20" s="1"/>
      <c r="D20" s="32"/>
      <c r="E20" s="41"/>
      <c r="F20" s="32"/>
      <c r="G20" s="32"/>
      <c r="H20" s="32"/>
      <c r="I20" s="32"/>
      <c r="J20" s="32"/>
      <c r="K20" s="36"/>
      <c r="L20" s="36"/>
      <c r="M20" s="32"/>
      <c r="N20" s="32"/>
      <c r="O20" s="32"/>
      <c r="P20" s="32"/>
      <c r="Q20" s="32"/>
      <c r="R20" s="32"/>
      <c r="S20" s="32"/>
      <c r="T20" s="32"/>
      <c r="U20" s="32"/>
      <c r="V20" s="31"/>
      <c r="W20" s="32"/>
      <c r="X20" s="32"/>
      <c r="Y20" s="41"/>
      <c r="Z20" s="32"/>
      <c r="AA20" s="32"/>
      <c r="AB20" s="32"/>
      <c r="AC20" s="32"/>
      <c r="AD20" s="32"/>
      <c r="AE20" s="32"/>
      <c r="AF20" s="45"/>
      <c r="AG20" s="28"/>
      <c r="AH20" s="4"/>
      <c r="AI20" s="28"/>
      <c r="AJ20" s="51"/>
      <c r="AK20" s="28"/>
      <c r="AL20" s="28"/>
      <c r="AM20" s="28"/>
      <c r="AN20" s="28"/>
      <c r="AO20" s="28"/>
      <c r="AP20" s="28"/>
      <c r="AQ20" s="28"/>
      <c r="AR20" s="51"/>
      <c r="AS20" s="28"/>
      <c r="AT20" s="28"/>
      <c r="AU20" s="4"/>
      <c r="AV20" s="18">
        <f>24*60*60</f>
        <v>86400</v>
      </c>
      <c r="AW20" s="18">
        <f>2*24*60*60</f>
        <v>172800</v>
      </c>
      <c r="AX20" s="18">
        <f>30*24*60*60</f>
        <v>2592000</v>
      </c>
      <c r="AY20" s="18">
        <f>90*24*60*60</f>
        <v>7776000</v>
      </c>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1"/>
      <c r="CS20" s="1"/>
      <c r="CT20" s="1"/>
      <c r="CU20" s="1"/>
    </row>
    <row r="21" spans="1:99" s="9" customFormat="1" ht="12" customHeight="1" x14ac:dyDescent="0.2">
      <c r="A21" s="37">
        <v>43509</v>
      </c>
      <c r="B21" s="1" t="s">
        <v>66</v>
      </c>
      <c r="C21" s="1" t="s">
        <v>67</v>
      </c>
      <c r="D21" s="32">
        <v>2006</v>
      </c>
      <c r="E21" s="41">
        <v>1</v>
      </c>
      <c r="F21" s="32">
        <v>22</v>
      </c>
      <c r="G21" s="32">
        <v>22</v>
      </c>
      <c r="H21" s="32" t="s">
        <v>154</v>
      </c>
      <c r="I21" s="32" t="s">
        <v>153</v>
      </c>
      <c r="J21" s="32" t="s">
        <v>82</v>
      </c>
      <c r="K21" s="32">
        <f>IF(J21="syllables",1,IF(J21="trigrams",2,IF(J21="strings",3,IF(J21="visual array",4,IF(J21="characters",5,IF(J21="letters",6,IF(J21="free forms",7,IF(J21="odors",8,IF(J21="words",9,IF(J21="pictures",10,IF(J21="object pictures",11,IF(J21="faces",12,IF(J21="names",13,IF(J21="idioms",14,IF(J21="grades",15,IF(J21="syllable-digit pairs",16,IF(J21="trigram-word pairs",17,IF(J21="word-digit pairs",18,IF(J21="English-Swahili pairs",19,IF(J21="spatial position",20,IF(J21="word pairs",21,IF(J21="word triads",22,IF(J21="generated words",23,IF(J21="word definition pairs",24,IF(J21="math problems",25,IF(J21="famous faces",26,IF(J21="famous names",27,IF(J21="famous voices",28,IF(J21="television programs",29,IF(J21="race horses",30,IF(J21="new vocabulary",31,IF(J21="sentences",32,IF(J21="concepts",33,IF(J21="ad slides",34,IF(J21="scenes",35,IF(J21="famous scenes",36,IF(J21="poems",37,IF(J21="walk",38,IF(J21="faces and events",39,IF(J21="events and names",40,IF(J21="flashbulb",41,IF(J21="stories",42,IF(J21="course material",43,IF(J21="autobiographical",44,IF(J21="novels",45,IF(J21="public events",46,"99"))))))))))))))))))))))))))))))))))))))))))))))</f>
        <v>10</v>
      </c>
      <c r="L21" s="32">
        <f>IF(J21="syllables",1,IF(J21="trigrams",1,IF(J21="strings",1,IF(J21="visual array",1,IF(J21="characters",1,IF(J21="letters",1,IF(J21="free forms",1,IF(J21="odors",2,IF(J21="words",2,IF(J21="pictures",2,IF(J21="object pictures",2,IF(J21="faces",2,IF(J21="names",2,IF(J21="idioms","2",IF(J21="grades",2,IF(J21="syllable-digit pairs",3,IF(J21="trigram-word pairs",3,IF(J21="word-digit pairs",3,IF(J21="English-Swahili pairs",3,IF(J21="spatial position",3,IF(J21="word pairs",4,IF(J21="word triads",4,IF(J21="generated words",4,IF(J21="word definition pairs",4,IF(J21="math problems",4,IF(J21="famous faces",4,IF(J21="famous names",4,IF(J21="famous voices",4,IF(J21="television programs",4,IF(J21="race horses",4,IF(J21="new vocabulary",4,IF(J21="sentences",5,IF(J21="concepts",5,IF(J21="ad slides",5,IF(J21="scenes",5,IF(J21="famous scenes",5,IF(J21="poems",6,IF(J21="walk",6,IF(J21="faces and events",6,IF(J21="events and names",6,IF(J21="flashbulb",7,IF(J21="stories",7,IF(J21="course material",7,IF(J21="autobiographical",7,IF(J21="novels",7,IF(J21="public events",7,"99"))))))))))))))))))))))))))))))))))))))))))))))</f>
        <v>2</v>
      </c>
      <c r="M21" s="32">
        <v>0</v>
      </c>
      <c r="N21" s="32">
        <v>1</v>
      </c>
      <c r="O21" s="32">
        <v>0</v>
      </c>
      <c r="P21" s="32"/>
      <c r="Q21" s="32" t="s">
        <v>18</v>
      </c>
      <c r="R21" s="32">
        <f>IF(Q21="Free Recall",1,IF(Q21="Cued Recall",2,IF(Q21="Recognition",3,IF(Q21="Multiple Choice",4,IF(Q21="Savings",5,IF(Q21="Stem Completion",6,IF(Q21="Fragment Completion",7,IF(Q21="anagram solution",8,IF(Q21="Matching",9,IF(Q21="Problem Solving",10,"99"))))))))))</f>
        <v>3</v>
      </c>
      <c r="S21" s="31" t="s">
        <v>196</v>
      </c>
      <c r="T21" s="31" t="s">
        <v>132</v>
      </c>
      <c r="U21" s="32">
        <f>IF(T21="within",1,0)</f>
        <v>1</v>
      </c>
      <c r="V21" s="31">
        <v>480</v>
      </c>
      <c r="W21" s="32">
        <f>F21*V21</f>
        <v>10560</v>
      </c>
      <c r="X21" s="32">
        <v>4</v>
      </c>
      <c r="Y21" s="41">
        <f>AV20</f>
        <v>86400</v>
      </c>
      <c r="Z21" s="32" t="s">
        <v>63</v>
      </c>
      <c r="AA21" s="32">
        <f>30*24*60*60*3</f>
        <v>7776000</v>
      </c>
      <c r="AB21" s="32" t="str">
        <f>IF(AA21&lt;60,"1",IF(AA21&lt;=43200,"2",IF(AA21&lt;=777600,"3","4")))</f>
        <v>4</v>
      </c>
      <c r="AC21" s="28">
        <f>AVERAGE(AV20:DA20)</f>
        <v>2656800</v>
      </c>
      <c r="AD21" s="32" t="str">
        <f>IF(AC21&lt;60,"1",IF(AC21&lt;=43200,"2",IF(AC21&lt;=777600,"3","4")))</f>
        <v>4</v>
      </c>
      <c r="AE21" s="41">
        <f>AA21-Y21</f>
        <v>7689600</v>
      </c>
      <c r="AF21" s="45">
        <f>AV21</f>
        <v>1.9</v>
      </c>
      <c r="AG21" s="28">
        <f>((AW21-AV21)+(AX21-AW21)+(AY21-AX21))/3</f>
        <v>-3.3333333333333291E-2</v>
      </c>
      <c r="AH21" s="4"/>
      <c r="AI21" s="28">
        <f>RSQ(AV21:AY21,AV20:AY20)</f>
        <v>0.53002815479480025</v>
      </c>
      <c r="AJ21" s="51">
        <f>SLOPE(AV21:AY21,AV20:AY20)</f>
        <v>-1.9335368588635533E-8</v>
      </c>
      <c r="AK21" s="28">
        <f>INTERCEPT(AV21:AY21,AV20:AY20)</f>
        <v>1.9263702072662869</v>
      </c>
      <c r="AL21" s="28">
        <f>INDEX(LINEST(LN(AV21:AY21),LN(AV20:AY20),TRUE,TRUE),3,1)</f>
        <v>0.68464955365160052</v>
      </c>
      <c r="AM21" s="28">
        <f>INDEX(LINEST(LN(AV21:AY21),LN(AV20:AY20)),1)</f>
        <v>-1.9484243959720874E-2</v>
      </c>
      <c r="AN21" s="28">
        <f>EXP(INDEX(LINEST(LN(AV21:AY21),LN(AV20:AY20)),1,2))</f>
        <v>2.4375139362669764</v>
      </c>
      <c r="AO21" s="47">
        <f>INDEX(LINEST((AV21:AY21),LN(AV20:AY20),TRUE,TRUE),3,1)</f>
        <v>0.67292470692885598</v>
      </c>
      <c r="AP21" s="47">
        <f>INDEX(LINEST((AV21:AY21),LN(AV20:AY20)),1)</f>
        <v>-3.6576900921308934E-2</v>
      </c>
      <c r="AQ21" s="48">
        <f>INDEX(LINEST(LN(AV21:AY21),SQRT(AV20:AY20),TRUE,TRUE),3,1)</f>
        <v>0.65791670744173925</v>
      </c>
      <c r="AR21" s="56">
        <f>INDEX(LINEST(LN(AV21:AY21),SQRT((AV20:AY20))),1)</f>
        <v>-3.5065401488334146E-5</v>
      </c>
      <c r="AS21" s="49">
        <f>INDEX(LINEST(1/(AV21:AY21),1/(SQRT(AV20:AY20)),TRUE,TRUE),3,1)</f>
        <v>0.58419351846196421</v>
      </c>
      <c r="AT21" s="49">
        <f>INDEX(LINEST(1/(AV21:AY21),1/SQRT(AV20:AY20)),1)</f>
        <v>-14.034784610071288</v>
      </c>
      <c r="AU21" s="3"/>
      <c r="AV21" s="25">
        <v>1.9</v>
      </c>
      <c r="AW21" s="25">
        <v>2</v>
      </c>
      <c r="AX21" s="25">
        <v>1.8</v>
      </c>
      <c r="AY21" s="25">
        <v>1.8</v>
      </c>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1"/>
      <c r="CS21" s="1"/>
      <c r="CT21" s="1"/>
      <c r="CU21" s="1"/>
    </row>
    <row r="22" spans="1:99" s="9" customFormat="1" ht="12" customHeight="1" x14ac:dyDescent="0.2">
      <c r="A22" s="37">
        <v>43900</v>
      </c>
      <c r="B22" s="1"/>
      <c r="C22" s="1"/>
      <c r="D22" s="32"/>
      <c r="E22" s="41"/>
      <c r="F22" s="32"/>
      <c r="G22" s="32"/>
      <c r="H22" s="32"/>
      <c r="I22" s="32"/>
      <c r="J22" s="32"/>
      <c r="K22" s="36"/>
      <c r="L22" s="36"/>
      <c r="M22" s="32"/>
      <c r="N22" s="32"/>
      <c r="O22" s="32"/>
      <c r="P22" s="32"/>
      <c r="Q22" s="32"/>
      <c r="R22" s="32"/>
      <c r="S22" s="32"/>
      <c r="T22" s="32"/>
      <c r="U22" s="32"/>
      <c r="V22" s="32"/>
      <c r="W22" s="32"/>
      <c r="X22" s="32"/>
      <c r="Y22" s="41"/>
      <c r="Z22" s="32"/>
      <c r="AA22" s="32"/>
      <c r="AB22" s="32"/>
      <c r="AC22" s="28"/>
      <c r="AD22" s="32"/>
      <c r="AE22" s="32"/>
      <c r="AF22" s="45"/>
      <c r="AG22" s="28"/>
      <c r="AH22" s="4"/>
      <c r="AI22" s="28"/>
      <c r="AJ22" s="51"/>
      <c r="AK22" s="28"/>
      <c r="AL22" s="28"/>
      <c r="AM22" s="28"/>
      <c r="AN22" s="28"/>
      <c r="AO22" s="47"/>
      <c r="AP22" s="47"/>
      <c r="AQ22" s="48"/>
      <c r="AR22" s="56"/>
      <c r="AS22" s="49"/>
      <c r="AT22" s="49"/>
      <c r="AU22" s="3"/>
      <c r="AV22" s="18">
        <v>900</v>
      </c>
      <c r="AW22" s="18">
        <v>86400</v>
      </c>
      <c r="AX22" s="18">
        <v>604800</v>
      </c>
      <c r="AY22" s="18">
        <v>2592000</v>
      </c>
      <c r="AZ22" s="25">
        <v>7862400</v>
      </c>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1"/>
      <c r="CS22" s="1"/>
      <c r="CT22" s="1"/>
      <c r="CU22" s="1"/>
    </row>
    <row r="23" spans="1:99" s="9" customFormat="1" ht="12" customHeight="1" x14ac:dyDescent="0.2">
      <c r="A23" s="37">
        <v>43900</v>
      </c>
      <c r="B23" s="1" t="s">
        <v>101</v>
      </c>
      <c r="C23" s="1" t="s">
        <v>102</v>
      </c>
      <c r="D23" s="32">
        <v>2012</v>
      </c>
      <c r="E23" s="41">
        <v>1</v>
      </c>
      <c r="F23" s="32">
        <v>58</v>
      </c>
      <c r="G23" s="32">
        <v>58</v>
      </c>
      <c r="H23" s="32" t="s">
        <v>104</v>
      </c>
      <c r="I23" s="32" t="s">
        <v>103</v>
      </c>
      <c r="J23" s="32" t="s">
        <v>82</v>
      </c>
      <c r="K23" s="32">
        <f>IF(J23="syllables",1,IF(J23="trigrams",2,IF(J23="strings",3,IF(J23="visual array",4,IF(J23="characters",5,IF(J23="letters",6,IF(J23="free forms",7,IF(J23="odors",8,IF(J23="words",9,IF(J23="pictures",10,IF(J23="object pictures",11,IF(J23="faces",12,IF(J23="names",13,IF(J23="idioms",14,IF(J23="grades",15,IF(J23="syllable-digit pairs",16,IF(J23="trigram-word pairs",17,IF(J23="word-digit pairs",18,IF(J23="English-Swahili pairs",19,IF(J23="spatial position",20,IF(J23="word pairs",21,IF(J23="word triads",22,IF(J23="generated words",23,IF(J23="word definition pairs",24,IF(J23="math problems",25,IF(J23="famous faces",26,IF(J23="famous names",27,IF(J23="famous voices",28,IF(J23="television programs",29,IF(J23="race horses",30,IF(J23="new vocabulary",31,IF(J23="sentences",32,IF(J23="concepts",33,IF(J23="ad slides",34,IF(J23="scenes",35,IF(J23="famous scenes",36,IF(J23="poems",37,IF(J23="walk",38,IF(J23="faces and events",39,IF(J23="events and names",40,IF(J23="flashbulb",41,IF(J23="stories",42,IF(J23="course material",43,IF(J23="autobiographical",44,IF(J23="novels",45,IF(J23="public events",46,"99"))))))))))))))))))))))))))))))))))))))))))))))</f>
        <v>10</v>
      </c>
      <c r="L23" s="32">
        <f>IF(J23="syllables",1,IF(J23="trigrams",1,IF(J23="strings",1,IF(J23="visual array",1,IF(J23="characters",1,IF(J23="letters",1,IF(J23="free forms",1,IF(J23="odors",2,IF(J23="words",2,IF(J23="pictures",2,IF(J23="object pictures",2,IF(J23="faces",2,IF(J23="names",2,IF(J23="idioms","2",IF(J23="grades",2,IF(J23="syllable-digit pairs",3,IF(J23="trigram-word pairs",3,IF(J23="word-digit pairs",3,IF(J23="English-Swahili pairs",3,IF(J23="spatial position",3,IF(J23="word pairs",4,IF(J23="word triads",4,IF(J23="generated words",4,IF(J23="word definition pairs",4,IF(J23="math problems",4,IF(J23="famous faces",4,IF(J23="famous names",4,IF(J23="famous voices",4,IF(J23="television programs",4,IF(J23="race horses",4,IF(J23="new vocabulary",4,IF(J23="sentences",5,IF(J23="concepts",5,IF(J23="ad slides",5,IF(J23="scenes",5,IF(J23="famous scenes",5,IF(J23="poems",6,IF(J23="walk",6,IF(J23="faces and events",6,IF(J23="events and names",6,IF(J23="flashbulb",7,IF(J23="stories",7,IF(J23="course material",7,IF(J23="autobiographical",7,IF(J23="novels",7,IF(J23="public events",7,"99"))))))))))))))))))))))))))))))))))))))))))))))</f>
        <v>2</v>
      </c>
      <c r="M23" s="32">
        <v>0</v>
      </c>
      <c r="N23" s="32">
        <v>1</v>
      </c>
      <c r="O23" s="32">
        <v>1</v>
      </c>
      <c r="P23" s="32" t="s">
        <v>32</v>
      </c>
      <c r="Q23" s="32" t="s">
        <v>18</v>
      </c>
      <c r="R23" s="32">
        <f>IF(Q23="Free Recall",1,IF(Q23="Cued Recall",2,IF(Q23="Recognition",3,IF(Q23="Multiple Choice",4,IF(Q23="Savings",5,IF(Q23="Stem Completion",6,IF(Q23="Fragment Completion",7,IF(Q23="anagram solution",8,IF(Q23="Matching",9,IF(Q23="Problem Solving",10,"99"))))))))))</f>
        <v>3</v>
      </c>
      <c r="S23" s="77" t="s">
        <v>196</v>
      </c>
      <c r="T23" s="31" t="s">
        <v>132</v>
      </c>
      <c r="U23" s="32">
        <f>IF(T23="within",1,0)</f>
        <v>1</v>
      </c>
      <c r="V23" s="31">
        <v>50</v>
      </c>
      <c r="W23" s="32">
        <f>F23*V23</f>
        <v>2900</v>
      </c>
      <c r="X23" s="32">
        <v>5</v>
      </c>
      <c r="Y23" s="41">
        <f>AV22</f>
        <v>900</v>
      </c>
      <c r="Z23" s="32" t="s">
        <v>105</v>
      </c>
      <c r="AA23" s="32">
        <f>60*60*24*91</f>
        <v>7862400</v>
      </c>
      <c r="AB23" s="32" t="str">
        <f>IF(AA23&lt;60,"1",IF(AA23&lt;=43200,"2",IF(AA23&lt;=777600,"3","4")))</f>
        <v>4</v>
      </c>
      <c r="AC23" s="28">
        <f>AVERAGE(AV22:DA22)</f>
        <v>2229300</v>
      </c>
      <c r="AD23" s="32" t="str">
        <f>IF(AC23&lt;60,"1",IF(AC23&lt;=43200,"2",IF(AC23&lt;=777600,"3","4")))</f>
        <v>4</v>
      </c>
      <c r="AE23" s="41">
        <f>AA23-Y23</f>
        <v>7861500</v>
      </c>
      <c r="AF23" s="45">
        <f>AV23</f>
        <v>3.1264322293123898</v>
      </c>
      <c r="AG23" s="28">
        <f>((AW23-AV23)+(AX23-AW23)+(AY23-AX23)+(AZ23-AY23))/4</f>
        <v>-0.47659187133766995</v>
      </c>
      <c r="AH23" s="4"/>
      <c r="AI23" s="28">
        <f>RSQ(AV23:AZ23,AV22:AZ22)</f>
        <v>0.65187481971897132</v>
      </c>
      <c r="AJ23" s="51">
        <f>SLOPE(AV23:AZ23,AV22:AZ22)</f>
        <v>-2.0659010099627149E-7</v>
      </c>
      <c r="AK23" s="28">
        <f>INTERCEPT(AV23:AZ23,AV22:AZ22)</f>
        <v>2.5980836185007257</v>
      </c>
      <c r="AL23" s="28">
        <f>INDEX(LINEST(LN(AV23:AZ23),LN(AV22:AZ22),TRUE,TRUE),3,1)</f>
        <v>0.81502492496976853</v>
      </c>
      <c r="AM23" s="28">
        <f>INDEX(LINEST(LN(AV23:AZ23),LN(AV22:AZ22)),1)</f>
        <v>-0.10598219026252227</v>
      </c>
      <c r="AN23" s="28">
        <f>EXP(INDEX(LINEST(LN(AV23:AZ23),LN(AV22:AZ22)),1,2))</f>
        <v>7.4530701599119142</v>
      </c>
      <c r="AO23" s="47">
        <f>INDEX(LINEST((AV23:AZ23),LN(AV22:AZ22),TRUE,TRUE),3,1)</f>
        <v>0.86354364162581954</v>
      </c>
      <c r="AP23" s="47">
        <f>INDEX(LINEST((AV23:AZ23),LN(AV22:AZ22)),1)</f>
        <v>-0.22115661271043477</v>
      </c>
      <c r="AQ23" s="48">
        <f>INDEX(LINEST(LN(AV23:AZ23),SQRT(AV22:AZ22),TRUE,TRUE),3,1)</f>
        <v>0.91687995650452692</v>
      </c>
      <c r="AR23" s="56">
        <f>INDEX(LINEST(LN(AV23:AZ23),SQRT((AV22:AZ22))),1)</f>
        <v>-3.5655703989402631E-4</v>
      </c>
      <c r="AS23" s="49">
        <f>INDEX(LINEST(1/(AV23:AZ23),1/(SQRT(AV22:AZ22)),TRUE,TRUE),3,1)</f>
        <v>0.36860891697760145</v>
      </c>
      <c r="AT23" s="49">
        <f>INDEX(LINEST(1/(AV23:AZ23),1/SQRT(AV22:AZ22)),1)</f>
        <v>-9.423014272544135</v>
      </c>
      <c r="AU23" s="3"/>
      <c r="AV23" s="25">
        <v>3.1264322293123898</v>
      </c>
      <c r="AW23" s="25">
        <v>2.8527640656528299</v>
      </c>
      <c r="AX23" s="25">
        <v>2.0935243364694398</v>
      </c>
      <c r="AY23" s="25">
        <v>1.39487615635232</v>
      </c>
      <c r="AZ23" s="25">
        <v>1.2200647439617101</v>
      </c>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1"/>
      <c r="CS23" s="1"/>
      <c r="CT23" s="1"/>
      <c r="CU23" s="1"/>
    </row>
    <row r="24" spans="1:99" s="60" customFormat="1" ht="12" customHeight="1" x14ac:dyDescent="0.2">
      <c r="A24" s="94">
        <v>43509</v>
      </c>
      <c r="B24" s="101"/>
      <c r="C24" s="101"/>
      <c r="D24" s="77"/>
      <c r="E24" s="98"/>
      <c r="F24" s="77"/>
      <c r="G24" s="77"/>
      <c r="H24" s="77"/>
      <c r="I24" s="77"/>
      <c r="J24" s="77"/>
      <c r="K24" s="102"/>
      <c r="L24" s="102"/>
      <c r="M24" s="77"/>
      <c r="N24" s="77"/>
      <c r="O24" s="77"/>
      <c r="P24" s="77"/>
      <c r="Q24" s="77"/>
      <c r="R24" s="77"/>
      <c r="S24" s="77"/>
      <c r="T24" s="96"/>
      <c r="U24" s="96"/>
      <c r="V24" s="77"/>
      <c r="W24" s="77"/>
      <c r="X24" s="77"/>
      <c r="Y24" s="98"/>
      <c r="Z24" s="77"/>
      <c r="AA24" s="77"/>
      <c r="AB24" s="77"/>
      <c r="AC24" s="77"/>
      <c r="AD24" s="77"/>
      <c r="AE24" s="77"/>
      <c r="AF24" s="99"/>
      <c r="AG24" s="100"/>
      <c r="AH24" s="84"/>
      <c r="AI24" s="100"/>
      <c r="AJ24" s="105"/>
      <c r="AK24" s="100"/>
      <c r="AL24" s="100"/>
      <c r="AM24" s="100"/>
      <c r="AN24" s="100"/>
      <c r="AO24" s="100"/>
      <c r="AP24" s="100"/>
      <c r="AQ24" s="100"/>
      <c r="AR24" s="105"/>
      <c r="AS24" s="100"/>
      <c r="AT24" s="100"/>
      <c r="AU24" s="62"/>
      <c r="AV24" s="64">
        <f>2*60</f>
        <v>120</v>
      </c>
      <c r="AW24" s="64">
        <f>4*60</f>
        <v>240</v>
      </c>
      <c r="AX24" s="64">
        <f>7*60</f>
        <v>420</v>
      </c>
      <c r="AY24" s="64">
        <f>15*60</f>
        <v>900</v>
      </c>
      <c r="AZ24" s="64">
        <f>30*60</f>
        <v>1800</v>
      </c>
      <c r="BA24" s="64">
        <f>50*60</f>
        <v>3000</v>
      </c>
      <c r="BB24" s="64">
        <f>24*60*60</f>
        <v>86400</v>
      </c>
      <c r="BC24" s="64">
        <f>2*24*60*60</f>
        <v>172800</v>
      </c>
      <c r="BD24" s="64">
        <f>4*24*60*60</f>
        <v>345600</v>
      </c>
      <c r="BE24" s="64">
        <f>7*24*60*60</f>
        <v>604800</v>
      </c>
      <c r="BF24" s="64">
        <f>10*24*60*60</f>
        <v>864000</v>
      </c>
      <c r="BG24" s="64">
        <f>14*24*60*60</f>
        <v>1209600</v>
      </c>
      <c r="BH24" s="65"/>
      <c r="BI24" s="65"/>
      <c r="BJ24" s="65"/>
      <c r="BK24" s="65"/>
      <c r="BL24" s="61"/>
      <c r="BM24" s="61"/>
      <c r="BN24" s="61"/>
      <c r="BO24" s="61"/>
      <c r="BP24" s="61"/>
      <c r="BQ24" s="61"/>
      <c r="BR24" s="61"/>
      <c r="BS24" s="61"/>
      <c r="BT24" s="61"/>
      <c r="BU24" s="61"/>
      <c r="BV24" s="61"/>
      <c r="BW24" s="61"/>
      <c r="BX24" s="61"/>
      <c r="BY24" s="61"/>
      <c r="BZ24" s="61"/>
      <c r="CA24" s="61"/>
      <c r="CB24" s="61"/>
      <c r="CC24" s="61"/>
      <c r="CD24" s="61"/>
      <c r="CE24" s="61"/>
      <c r="CF24" s="61"/>
      <c r="CG24" s="61"/>
      <c r="CH24" s="61"/>
      <c r="CI24" s="61"/>
      <c r="CJ24" s="61"/>
      <c r="CK24" s="61"/>
      <c r="CL24" s="61"/>
      <c r="CM24" s="61"/>
      <c r="CN24" s="61"/>
      <c r="CO24" s="61"/>
      <c r="CP24" s="61"/>
      <c r="CQ24" s="61"/>
      <c r="CR24" s="59"/>
      <c r="CS24" s="59"/>
      <c r="CT24" s="59"/>
      <c r="CU24" s="59"/>
    </row>
    <row r="25" spans="1:99" s="60" customFormat="1" ht="12" customHeight="1" x14ac:dyDescent="0.2">
      <c r="A25" s="94">
        <v>43509</v>
      </c>
      <c r="B25" s="101" t="s">
        <v>231</v>
      </c>
      <c r="C25" s="101" t="s">
        <v>33</v>
      </c>
      <c r="D25" s="77">
        <v>1975</v>
      </c>
      <c r="E25" s="98">
        <v>1</v>
      </c>
      <c r="F25" s="77">
        <v>10</v>
      </c>
      <c r="G25" s="77">
        <v>10</v>
      </c>
      <c r="H25" s="77" t="s">
        <v>28</v>
      </c>
      <c r="I25" s="77" t="s">
        <v>232</v>
      </c>
      <c r="J25" s="77" t="s">
        <v>12</v>
      </c>
      <c r="K25" s="77" t="str">
        <f>IF(J25="syllables","1",IF(J25="trigrams","2",IF(J25="strings","3",IF(J25="visual array","4",IF(J25="characters","5",IF(J25="letters","6",IF(J25="free forms","7",IF(J25="odors","8",IF(J25="words","9",IF(J25="pictures","10",IF(J25="object pictures","11",IF(J25="faces","12",IF(J25="names","13",IF(J25="idioms","14",IF(J25="grades","15",IF(J25="syllable-digit pairs","16",IF(J25="trigram-word pairs","17",IF(J25="word-digit pairs","18",IF(J25="English-Swahili pairs","19",IF(J25="spatial position","20",IF(J25="word pairs","21",IF(J25="word triads","22",IF(J25="generated words","23",IF(J25="word definition pairs","24",IF(J25="math problems","25",IF(J25="famous faces","26",IF(J25="famous names","27",IF(J25="famous voices","28",IF(J25="television programs","29",IF(J25="race horses","30",IF(J25="new vocabulary","31",IF(J25="sentences","32",IF(J25="concepts","33",IF(J25="ad slides","34",IF(J25="scenes","35",IF(J25="famous scenes","36",IF(J25="poems","37",IF(J25="walk","38",IF(J25="faces and events","39",IF(J25="events and names","40",IF(J25="flashbulb","41",IF(J25="stories","42",IF(J25="course material","43",IF(J25="autobiographical","44",IF(J25="novels","45",IF(J25="public events","46",IF(J25="order","90","99")))))))))))))))))))))))))))))))))))))))))))))))</f>
        <v>9</v>
      </c>
      <c r="L25" s="77" t="str">
        <f>IF(J25="syllables","1",IF(J25="trigrams","1",IF(J25="strings","1",IF(J25="visual array","1",IF(J25="characters","1",IF(J25="letters","1",IF(J25="free forms","1",IF(J25="odors","2",IF(J25="words","2",IF(J25="pictures","2",IF(J25="object pictures","2",IF(J25="faces","2",IF(J25="names","2",IF(J25="idioms","2",IF(J25="grades","2",IF(J25="syllable-digit pairs","3",IF(J25="trigram-word pairs","3",IF(J25="word-digit pairs","3",IF(J25="English-Swahili pairs","3",IF(J25="spatial position","3",IF(J25="word pairs","4",IF(J25="word triads","4",IF(J25="generated words","4",IF(J25="word definition pairs","4",IF(J25="math problems","4",IF(J25="famous faces","4",IF(J25="famous names","4",IF(J25="famous voices","4",IF(J25="television programs","4",IF(J25="race horses","4",IF(J25="new vocabulary","4",IF(J25="sentences","5",IF(J25="concepts","5",IF(J25="ad slides","5",IF(J25="scenes","5",IF(J25="famous scenes","5",IF(J25="poems","6",IF(J25="walk","6",IF(J25="faces and events","6",IF(J25="events and names","6",IF(J25="flashbulb","7",IF(J25="stories","7",IF(J25="course material","7",IF(J25="autobiographical","7",IF(J25="novels","7",IF(J25="public events","7",IF(J25="order","90","99")))))))))))))))))))))))))))))))))))))))))))))))</f>
        <v>2</v>
      </c>
      <c r="M25" s="77" t="s">
        <v>195</v>
      </c>
      <c r="N25" s="77">
        <v>1</v>
      </c>
      <c r="O25" s="77" t="s">
        <v>195</v>
      </c>
      <c r="P25" s="77"/>
      <c r="Q25" s="77" t="s">
        <v>18</v>
      </c>
      <c r="R25" s="77" t="str">
        <f>IF(Q25="Free Recall","1",IF(Q25="Cued Recall","2",IF(Q25="Recognition","3",IF(Q25="Multiple Choice","4",IF(Q25="Savings","5",IF(Q25="Stem Completion","6",IF(Q25="Fragment Completion","7",IF(Q25="anagram solution","8",IF(Q25="Matching","9",IF(Q25="Problem Solving","10","99"))))))))))</f>
        <v>3</v>
      </c>
      <c r="S25" s="77" t="s">
        <v>196</v>
      </c>
      <c r="T25" s="96" t="s">
        <v>132</v>
      </c>
      <c r="U25" s="32">
        <f>IF(T25="within",1,0)</f>
        <v>1</v>
      </c>
      <c r="V25" s="96">
        <v>600</v>
      </c>
      <c r="W25" s="77">
        <f>F25*V25</f>
        <v>6000</v>
      </c>
      <c r="X25" s="77">
        <v>12</v>
      </c>
      <c r="Y25" s="98">
        <f>AV24</f>
        <v>120</v>
      </c>
      <c r="Z25" s="77" t="s">
        <v>59</v>
      </c>
      <c r="AA25" s="98">
        <f>14*24*60*60</f>
        <v>1209600</v>
      </c>
      <c r="AB25" s="77" t="str">
        <f>IF(AA25&lt;60,"1",IF(AA25&lt;=43200,"2",IF(AA25&lt;=777600,"3","4")))</f>
        <v>4</v>
      </c>
      <c r="AC25" s="100">
        <f>AVERAGE(AV24:DA24)</f>
        <v>274140</v>
      </c>
      <c r="AD25" s="77" t="str">
        <f>IF(AC25&lt;60,"1",IF(AC25&lt;=43200,"2",IF(AC25&lt;=777600,"3","4")))</f>
        <v>3</v>
      </c>
      <c r="AE25" s="98">
        <f>AA25-Y25</f>
        <v>1209480</v>
      </c>
      <c r="AF25" s="99">
        <f>AV25</f>
        <v>2.79</v>
      </c>
      <c r="AG25" s="100">
        <f>((AW25-AV25)+(AX25-AW25)+(AY25-AX25)+(AZ25-AY25)+(BA25-AZ25)+(BB25-BA25)+(BC25-BB25)+(BD25-BC25)+(BE25-BD25)+(BF25-BE25)+(BG25-BF25))/11</f>
        <v>-0.23818181818181819</v>
      </c>
      <c r="AH25" s="84"/>
      <c r="AI25" s="100">
        <f>RSQ(AV25:BG25,AV24:BG24)</f>
        <v>0.47339041053421671</v>
      </c>
      <c r="AJ25" s="105">
        <f>SLOPE(AV25:BG25,AV24:BG24)</f>
        <v>-1.5170680069343578E-6</v>
      </c>
      <c r="AK25" s="100">
        <f>INTERCEPT(AV25:BG25,AV24:BG24)</f>
        <v>1.5017223567543183</v>
      </c>
      <c r="AL25" s="100">
        <f>INDEX(LINEST(LN(AV25:BG25),LN(AV24:BG24),TRUE,TRUE),3,1)</f>
        <v>0.98550569892021489</v>
      </c>
      <c r="AM25" s="100">
        <f>INDEX(LINEST(LN(AV25:BG25),LN(AV24:BG24)),1)</f>
        <v>-0.28036390513334736</v>
      </c>
      <c r="AN25" s="100">
        <f>EXP(INDEX(LINEST(LN(AV25:BG25),LN(AV24:BG24)),1,2))</f>
        <v>10.898420242290976</v>
      </c>
      <c r="AO25" s="104">
        <f>INDEX(LINEST((AV25:BG25),LN(AV24:BG24),TRUE,TRUE),3,1)</f>
        <v>0.93443651152297802</v>
      </c>
      <c r="AP25" s="104">
        <f>INDEX(LINEST((AV25:BG25),LN(AV24:BG24)),1)</f>
        <v>-0.24687248959437136</v>
      </c>
      <c r="AQ25" s="48">
        <f>INDEX(LINEST(LN(AV25:BG25),SQRT(AV24:BG24),TRUE,TRUE),3,1)</f>
        <v>0.90706599246740616</v>
      </c>
      <c r="AR25" s="56">
        <f>INDEX(LINEST(LN(AV25:BG25),SQRT((AV24:BG24))),1)</f>
        <v>-2.3654636792636761E-3</v>
      </c>
      <c r="AS25" s="49">
        <f>INDEX(LINEST(1/(AV25:BG25),1/(SQRT(AV24:BG24)),TRUE,TRUE),3,1)</f>
        <v>0.49160156217332146</v>
      </c>
      <c r="AT25" s="49">
        <f>INDEX(LINEST(1/(AV25:BG25),1/SQRT(AV24:BG24)),1)</f>
        <v>-44.065462611935793</v>
      </c>
      <c r="AU25" s="63"/>
      <c r="AV25" s="65">
        <v>2.79</v>
      </c>
      <c r="AW25" s="65">
        <v>2.2799999999999998</v>
      </c>
      <c r="AX25" s="65">
        <v>1.85</v>
      </c>
      <c r="AY25" s="65">
        <v>1.69</v>
      </c>
      <c r="AZ25" s="65">
        <v>1.3</v>
      </c>
      <c r="BA25" s="65">
        <v>1.17</v>
      </c>
      <c r="BB25" s="65">
        <v>0.5</v>
      </c>
      <c r="BC25" s="65">
        <v>0.47</v>
      </c>
      <c r="BD25" s="65">
        <v>0.34</v>
      </c>
      <c r="BE25" s="65">
        <v>0.26</v>
      </c>
      <c r="BF25" s="65">
        <v>0.21</v>
      </c>
      <c r="BG25" s="65">
        <v>0.17</v>
      </c>
      <c r="BH25" s="65"/>
      <c r="BI25" s="65"/>
      <c r="BJ25" s="65"/>
      <c r="BK25" s="65"/>
      <c r="BL25" s="61"/>
      <c r="BM25" s="61"/>
      <c r="BN25" s="61"/>
      <c r="BO25" s="61"/>
      <c r="BP25" s="61"/>
      <c r="BQ25" s="61"/>
      <c r="BR25" s="61"/>
      <c r="BS25" s="61"/>
      <c r="BT25" s="61"/>
      <c r="BU25" s="61"/>
      <c r="BV25" s="61"/>
      <c r="BW25" s="61"/>
      <c r="BX25" s="61"/>
      <c r="BY25" s="61"/>
      <c r="BZ25" s="61"/>
      <c r="CA25" s="61"/>
      <c r="CB25" s="61"/>
      <c r="CC25" s="61"/>
      <c r="CD25" s="61"/>
      <c r="CE25" s="61"/>
      <c r="CF25" s="61"/>
      <c r="CG25" s="61"/>
      <c r="CH25" s="61"/>
      <c r="CI25" s="61"/>
      <c r="CJ25" s="61"/>
      <c r="CK25" s="61"/>
      <c r="CL25" s="61"/>
      <c r="CM25" s="61"/>
      <c r="CN25" s="61"/>
      <c r="CO25" s="61"/>
      <c r="CP25" s="61"/>
      <c r="CQ25" s="61"/>
      <c r="CR25" s="59"/>
      <c r="CS25" s="59"/>
      <c r="CT25" s="59"/>
      <c r="CU25" s="59"/>
    </row>
    <row r="26" spans="1:99" ht="12" customHeight="1" x14ac:dyDescent="0.2">
      <c r="R26" s="32"/>
      <c r="U26" s="32"/>
      <c r="W26" s="32"/>
      <c r="Y26" s="41"/>
      <c r="AB26" s="32"/>
      <c r="AD26" s="32"/>
      <c r="AE26" s="32"/>
      <c r="AF26" s="45"/>
    </row>
    <row r="27" spans="1:99" ht="12" customHeight="1" x14ac:dyDescent="0.2">
      <c r="K27" s="32"/>
      <c r="R27" s="32"/>
      <c r="U27" s="32"/>
      <c r="Y27" s="36"/>
      <c r="AB27" s="32"/>
      <c r="AD27" s="32"/>
      <c r="AE27" s="42"/>
      <c r="AF27" s="29"/>
      <c r="AL27" s="68" t="s">
        <v>135</v>
      </c>
      <c r="AM27" s="29">
        <f>AVERAGE(AM2:AM25)</f>
        <v>-0.15348342794329381</v>
      </c>
    </row>
    <row r="28" spans="1:99" ht="12" customHeight="1" x14ac:dyDescent="0.2">
      <c r="R28" s="32"/>
      <c r="Y28" s="36"/>
      <c r="AB28" s="32"/>
      <c r="AD28" s="32"/>
      <c r="AF28" s="36"/>
      <c r="AG28" s="36"/>
      <c r="AL28" s="23" t="s">
        <v>188</v>
      </c>
      <c r="AM28" s="29">
        <f>MEDIAN(AM2:AM25)</f>
        <v>-0.15169361469674686</v>
      </c>
    </row>
    <row r="29" spans="1:99" ht="12" customHeight="1" x14ac:dyDescent="0.2">
      <c r="K29" s="32"/>
      <c r="R29" s="32"/>
      <c r="Y29" s="36"/>
      <c r="AB29" s="32"/>
      <c r="AD29" s="32"/>
      <c r="AF29" s="36"/>
      <c r="AG29" s="36"/>
      <c r="AL29" s="68" t="s">
        <v>167</v>
      </c>
      <c r="AM29" s="29">
        <f>MIN(AM2:AM25)</f>
        <v>-0.28036390513334736</v>
      </c>
    </row>
    <row r="30" spans="1:99" ht="12" customHeight="1" x14ac:dyDescent="0.2">
      <c r="R30" s="32"/>
      <c r="Y30" s="36"/>
      <c r="AB30" s="32"/>
      <c r="AD30" s="32"/>
      <c r="AF30" s="29"/>
      <c r="AG30" s="74"/>
      <c r="AL30" s="68" t="s">
        <v>166</v>
      </c>
      <c r="AM30" s="29">
        <f>MAX(AM2:AM25)</f>
        <v>-1.9484243959720874E-2</v>
      </c>
    </row>
    <row r="31" spans="1:99" ht="12" customHeight="1" x14ac:dyDescent="0.2">
      <c r="K31" s="32"/>
      <c r="R31" s="32"/>
      <c r="Y31" s="36"/>
      <c r="AB31" s="32"/>
      <c r="AD31" s="32"/>
      <c r="AF31" s="36"/>
      <c r="AG31" s="36"/>
      <c r="AL31" s="68" t="s">
        <v>168</v>
      </c>
      <c r="AM31" s="36">
        <f xml:space="preserve"> STDEV(AM2:AM25)</f>
        <v>7.2578092578488865E-2</v>
      </c>
    </row>
    <row r="32" spans="1:99" ht="12" customHeight="1" x14ac:dyDescent="0.2">
      <c r="R32" s="32"/>
      <c r="W32" s="32"/>
      <c r="Y32" s="41"/>
      <c r="AB32" s="32"/>
      <c r="AD32" s="32"/>
      <c r="AE32" s="32"/>
      <c r="AF32" s="45"/>
      <c r="AL32" s="23" t="s">
        <v>187</v>
      </c>
      <c r="AM32" s="36">
        <f xml:space="preserve"> STDEV(AM2:AM25)/SQRT(COUNT(AM2:AM25))</f>
        <v>2.0951490643730065E-2</v>
      </c>
    </row>
    <row r="33" spans="11:39" ht="12" customHeight="1" x14ac:dyDescent="0.2">
      <c r="K33" s="32"/>
      <c r="R33" s="32"/>
      <c r="W33" s="32"/>
      <c r="Y33" s="41"/>
      <c r="AB33" s="32"/>
      <c r="AD33" s="32"/>
      <c r="AE33" s="41"/>
      <c r="AF33" s="45"/>
      <c r="AL33" s="69"/>
      <c r="AM33" s="70"/>
    </row>
    <row r="34" spans="11:39" ht="12" customHeight="1" x14ac:dyDescent="0.2">
      <c r="R34" s="32"/>
      <c r="W34" s="32"/>
      <c r="Y34" s="41"/>
      <c r="AB34" s="32"/>
      <c r="AD34" s="32"/>
      <c r="AE34" s="32"/>
      <c r="AF34" s="45"/>
      <c r="AL34" s="69" t="s">
        <v>45</v>
      </c>
      <c r="AM34" s="91">
        <f>AM27-(3*AM31)</f>
        <v>-0.37121770567876045</v>
      </c>
    </row>
    <row r="35" spans="11:39" ht="12" customHeight="1" x14ac:dyDescent="0.2">
      <c r="K35" s="32"/>
      <c r="L35" s="32"/>
      <c r="R35" s="32"/>
      <c r="W35" s="32"/>
      <c r="Y35" s="41"/>
      <c r="AB35" s="32"/>
      <c r="AE35" s="41"/>
      <c r="AF35" s="45"/>
      <c r="AL35" s="69" t="s">
        <v>44</v>
      </c>
      <c r="AM35" s="70">
        <f>AM27+(3*AM31)</f>
        <v>6.4250849792172798E-2</v>
      </c>
    </row>
    <row r="36" spans="11:39" ht="12" customHeight="1" x14ac:dyDescent="0.2">
      <c r="R36" s="32"/>
      <c r="W36" s="32"/>
      <c r="Y36" s="41"/>
      <c r="AB36" s="32"/>
      <c r="AE36" s="32"/>
      <c r="AF36" s="45"/>
    </row>
    <row r="37" spans="11:39" ht="12" customHeight="1" x14ac:dyDescent="0.2">
      <c r="K37" s="32"/>
      <c r="L37" s="32"/>
      <c r="R37" s="32"/>
      <c r="W37" s="32"/>
      <c r="Y37" s="41"/>
      <c r="AB37" s="32"/>
      <c r="AE37" s="41"/>
      <c r="AF37" s="45"/>
      <c r="AM37" s="28"/>
    </row>
    <row r="38" spans="11:39" ht="12" customHeight="1" x14ac:dyDescent="0.2">
      <c r="R38" s="32"/>
      <c r="W38" s="32"/>
      <c r="Y38" s="41"/>
      <c r="AB38" s="32"/>
      <c r="AE38" s="32"/>
      <c r="AF38" s="45"/>
      <c r="AM38" s="30"/>
    </row>
    <row r="39" spans="11:39" ht="12" customHeight="1" x14ac:dyDescent="0.2">
      <c r="K39" s="32"/>
      <c r="L39" s="32"/>
      <c r="R39" s="32"/>
      <c r="W39" s="32"/>
      <c r="Y39" s="41"/>
      <c r="AB39" s="32"/>
      <c r="AE39" s="41"/>
      <c r="AF39" s="45"/>
    </row>
    <row r="40" spans="11:39" ht="12" customHeight="1" x14ac:dyDescent="0.2">
      <c r="R40" s="32"/>
      <c r="W40" s="32"/>
      <c r="Y40" s="41"/>
      <c r="AB40" s="32"/>
      <c r="AE40" s="32"/>
      <c r="AF40" s="45"/>
    </row>
    <row r="41" spans="11:39" ht="12" customHeight="1" x14ac:dyDescent="0.2">
      <c r="K41" s="32"/>
      <c r="L41" s="32"/>
      <c r="R41" s="32"/>
      <c r="W41" s="32"/>
      <c r="Y41" s="41"/>
      <c r="AB41" s="32"/>
      <c r="AE41" s="41"/>
      <c r="AF41" s="45"/>
    </row>
    <row r="42" spans="11:39" ht="12" customHeight="1" x14ac:dyDescent="0.2">
      <c r="R42" s="32"/>
      <c r="W42" s="32"/>
      <c r="Y42" s="41"/>
      <c r="AB42" s="32"/>
      <c r="AE42" s="32"/>
      <c r="AF42" s="45"/>
    </row>
    <row r="43" spans="11:39" ht="12" customHeight="1" x14ac:dyDescent="0.2">
      <c r="K43" s="32"/>
      <c r="L43" s="32"/>
      <c r="R43" s="32"/>
      <c r="W43" s="32"/>
      <c r="Y43" s="41"/>
      <c r="AB43" s="32"/>
      <c r="AE43" s="41"/>
      <c r="AF43" s="45"/>
    </row>
    <row r="44" spans="11:39" ht="12" customHeight="1" x14ac:dyDescent="0.2">
      <c r="R44" s="32"/>
      <c r="W44" s="32"/>
      <c r="Y44" s="41"/>
      <c r="AB44" s="32"/>
      <c r="AE44" s="32"/>
      <c r="AF44" s="45"/>
    </row>
    <row r="45" spans="11:39" ht="12" customHeight="1" x14ac:dyDescent="0.2">
      <c r="K45" s="32"/>
      <c r="L45" s="32"/>
      <c r="R45" s="32"/>
      <c r="W45" s="32"/>
      <c r="Y45" s="41"/>
      <c r="AB45" s="32"/>
      <c r="AE45" s="41"/>
      <c r="AF45" s="45"/>
    </row>
    <row r="46" spans="11:39" ht="12" customHeight="1" x14ac:dyDescent="0.2">
      <c r="R46" s="32"/>
      <c r="W46" s="32"/>
      <c r="Y46" s="41"/>
      <c r="AB46" s="32"/>
      <c r="AE46" s="32"/>
      <c r="AF46" s="45"/>
    </row>
    <row r="47" spans="11:39" ht="12" customHeight="1" x14ac:dyDescent="0.2">
      <c r="K47" s="32"/>
      <c r="L47" s="32"/>
      <c r="R47" s="32"/>
      <c r="W47" s="32"/>
      <c r="Y47" s="41"/>
      <c r="AB47" s="32"/>
      <c r="AE47" s="41"/>
      <c r="AF47" s="45"/>
    </row>
    <row r="48" spans="11:39" ht="12" customHeight="1" x14ac:dyDescent="0.2">
      <c r="R48" s="32"/>
      <c r="W48" s="32"/>
      <c r="Y48" s="41"/>
      <c r="AB48" s="32"/>
      <c r="AE48" s="32"/>
      <c r="AF48" s="45"/>
    </row>
    <row r="49" spans="11:32" ht="12" customHeight="1" x14ac:dyDescent="0.2">
      <c r="K49" s="32"/>
      <c r="L49" s="32"/>
      <c r="R49" s="32"/>
      <c r="W49" s="32"/>
      <c r="Y49" s="41"/>
      <c r="AB49" s="32"/>
      <c r="AE49" s="41"/>
      <c r="AF49" s="45"/>
    </row>
    <row r="50" spans="11:32" ht="12" customHeight="1" x14ac:dyDescent="0.2">
      <c r="R50" s="32"/>
      <c r="W50" s="32"/>
      <c r="Y50" s="41"/>
      <c r="AB50" s="32"/>
      <c r="AE50" s="32"/>
      <c r="AF50" s="45"/>
    </row>
    <row r="51" spans="11:32" ht="12" customHeight="1" x14ac:dyDescent="0.2">
      <c r="K51" s="32"/>
      <c r="L51" s="32"/>
      <c r="R51" s="32"/>
      <c r="W51" s="32"/>
      <c r="Y51" s="41"/>
      <c r="AB51" s="32"/>
      <c r="AE51" s="41"/>
      <c r="AF51" s="45"/>
    </row>
    <row r="52" spans="11:32" ht="12" customHeight="1" x14ac:dyDescent="0.2">
      <c r="R52" s="32"/>
      <c r="W52" s="32"/>
      <c r="Y52" s="41"/>
      <c r="AB52" s="32"/>
      <c r="AE52" s="32"/>
      <c r="AF52" s="45"/>
    </row>
    <row r="53" spans="11:32" ht="12" customHeight="1" x14ac:dyDescent="0.2">
      <c r="K53" s="32"/>
      <c r="L53" s="32"/>
      <c r="R53" s="32"/>
      <c r="W53" s="32"/>
      <c r="Y53" s="41"/>
      <c r="AB53" s="32"/>
      <c r="AE53" s="41"/>
      <c r="AF53" s="45"/>
    </row>
    <row r="54" spans="11:32" ht="12" customHeight="1" x14ac:dyDescent="0.2">
      <c r="R54" s="32"/>
      <c r="W54" s="32"/>
      <c r="Y54" s="41"/>
      <c r="AB54" s="32"/>
      <c r="AE54" s="32"/>
      <c r="AF54" s="45"/>
    </row>
    <row r="55" spans="11:32" ht="12" customHeight="1" x14ac:dyDescent="0.2">
      <c r="K55" s="32"/>
      <c r="L55" s="32"/>
      <c r="R55" s="32"/>
      <c r="W55" s="32"/>
      <c r="Y55" s="41"/>
      <c r="AB55" s="32"/>
      <c r="AE55" s="41"/>
      <c r="AF55" s="45"/>
    </row>
    <row r="56" spans="11:32" ht="12" customHeight="1" x14ac:dyDescent="0.2">
      <c r="R56" s="32"/>
      <c r="W56" s="32"/>
      <c r="Y56" s="41"/>
      <c r="AB56" s="32"/>
      <c r="AE56" s="32"/>
      <c r="AF56" s="45"/>
    </row>
    <row r="57" spans="11:32" ht="12" customHeight="1" x14ac:dyDescent="0.2">
      <c r="K57" s="32"/>
      <c r="L57" s="32"/>
      <c r="R57" s="32"/>
      <c r="W57" s="32"/>
      <c r="Y57" s="41"/>
      <c r="AB57" s="32"/>
      <c r="AE57" s="41"/>
      <c r="AF57" s="45"/>
    </row>
    <row r="58" spans="11:32" ht="12" customHeight="1" x14ac:dyDescent="0.2">
      <c r="W58" s="32"/>
      <c r="Y58" s="41"/>
      <c r="AB58" s="32"/>
      <c r="AE58" s="32"/>
      <c r="AF58" s="45"/>
    </row>
    <row r="59" spans="11:32" ht="12" customHeight="1" x14ac:dyDescent="0.2">
      <c r="K59" s="32"/>
      <c r="L59" s="32"/>
      <c r="W59" s="32"/>
      <c r="Y59" s="41"/>
      <c r="AE59" s="41"/>
      <c r="AF59" s="45"/>
    </row>
    <row r="60" spans="11:32" ht="12" customHeight="1" x14ac:dyDescent="0.2">
      <c r="W60" s="32"/>
      <c r="Y60" s="41"/>
      <c r="AE60" s="32"/>
      <c r="AF60" s="45"/>
    </row>
    <row r="61" spans="11:32" ht="12" customHeight="1" x14ac:dyDescent="0.2">
      <c r="K61" s="32"/>
      <c r="L61" s="32"/>
      <c r="W61" s="32"/>
      <c r="Y61" s="41"/>
      <c r="AE61" s="41"/>
      <c r="AF61" s="45"/>
    </row>
    <row r="62" spans="11:32" ht="12" customHeight="1" x14ac:dyDescent="0.2">
      <c r="W62" s="32"/>
      <c r="Y62" s="41"/>
      <c r="AE62" s="32"/>
      <c r="AF62" s="45"/>
    </row>
    <row r="63" spans="11:32" ht="12" customHeight="1" x14ac:dyDescent="0.2">
      <c r="K63" s="32"/>
      <c r="L63" s="32"/>
      <c r="W63" s="32"/>
      <c r="Y63" s="41"/>
      <c r="AE63" s="41"/>
      <c r="AF63" s="45"/>
    </row>
    <row r="64" spans="11:32" ht="12" customHeight="1" x14ac:dyDescent="0.2">
      <c r="W64" s="32"/>
      <c r="Y64" s="41"/>
      <c r="AE64" s="32"/>
      <c r="AF64" s="45"/>
    </row>
    <row r="65" spans="11:32" ht="12" customHeight="1" x14ac:dyDescent="0.2">
      <c r="K65" s="32"/>
      <c r="L65" s="32"/>
      <c r="W65" s="32"/>
      <c r="Y65" s="41"/>
      <c r="AE65" s="41"/>
      <c r="AF65" s="45"/>
    </row>
    <row r="67" spans="11:32" ht="12" customHeight="1" x14ac:dyDescent="0.2">
      <c r="K67" s="32"/>
      <c r="L67" s="32"/>
    </row>
  </sheetData>
  <conditionalFormatting sqref="AD26 AD28 AD30 AD32">
    <cfRule type="expression" dxfId="90" priority="522">
      <formula>MOD(ROW(),2)=1</formula>
    </cfRule>
  </conditionalFormatting>
  <conditionalFormatting sqref="Y44">
    <cfRule type="expression" dxfId="89" priority="385">
      <formula>MOD(ROW(),2)=1</formula>
    </cfRule>
  </conditionalFormatting>
  <conditionalFormatting sqref="Y48">
    <cfRule type="expression" dxfId="88" priority="384">
      <formula>MOD(ROW(),2)=1</formula>
    </cfRule>
  </conditionalFormatting>
  <conditionalFormatting sqref="Y52">
    <cfRule type="expression" dxfId="87" priority="383">
      <formula>MOD(ROW(),2)=1</formula>
    </cfRule>
  </conditionalFormatting>
  <conditionalFormatting sqref="Y60">
    <cfRule type="expression" dxfId="86" priority="381">
      <formula>MOD(ROW(),2)=1</formula>
    </cfRule>
  </conditionalFormatting>
  <conditionalFormatting sqref="Y64">
    <cfRule type="expression" dxfId="85" priority="380">
      <formula>MOD(ROW(),2)=1</formula>
    </cfRule>
  </conditionalFormatting>
  <conditionalFormatting sqref="Y32">
    <cfRule type="expression" dxfId="84" priority="388">
      <formula>MOD(ROW(),2)=1</formula>
    </cfRule>
  </conditionalFormatting>
  <conditionalFormatting sqref="Y36">
    <cfRule type="expression" dxfId="83" priority="387">
      <formula>MOD(ROW(),2)=1</formula>
    </cfRule>
  </conditionalFormatting>
  <conditionalFormatting sqref="Y40">
    <cfRule type="expression" dxfId="82" priority="386">
      <formula>MOD(ROW(),2)=1</formula>
    </cfRule>
  </conditionalFormatting>
  <conditionalFormatting sqref="Y56">
    <cfRule type="expression" dxfId="81" priority="382">
      <formula>MOD(ROW(),2)=1</formula>
    </cfRule>
  </conditionalFormatting>
  <conditionalFormatting sqref="W44">
    <cfRule type="expression" dxfId="80" priority="243">
      <formula>MOD(ROW(),2)=1</formula>
    </cfRule>
  </conditionalFormatting>
  <conditionalFormatting sqref="W48">
    <cfRule type="expression" dxfId="79" priority="242">
      <formula>MOD(ROW(),2)=1</formula>
    </cfRule>
  </conditionalFormatting>
  <conditionalFormatting sqref="W52">
    <cfRule type="expression" dxfId="78" priority="241">
      <formula>MOD(ROW(),2)=1</formula>
    </cfRule>
  </conditionalFormatting>
  <conditionalFormatting sqref="W60">
    <cfRule type="expression" dxfId="77" priority="239">
      <formula>MOD(ROW(),2)=1</formula>
    </cfRule>
  </conditionalFormatting>
  <conditionalFormatting sqref="W64">
    <cfRule type="expression" dxfId="76" priority="238">
      <formula>MOD(ROW(),2)=1</formula>
    </cfRule>
  </conditionalFormatting>
  <conditionalFormatting sqref="W32">
    <cfRule type="expression" dxfId="75" priority="246">
      <formula>MOD(ROW(),2)=1</formula>
    </cfRule>
  </conditionalFormatting>
  <conditionalFormatting sqref="W36">
    <cfRule type="expression" dxfId="74" priority="245">
      <formula>MOD(ROW(),2)=1</formula>
    </cfRule>
  </conditionalFormatting>
  <conditionalFormatting sqref="W40">
    <cfRule type="expression" dxfId="73" priority="244">
      <formula>MOD(ROW(),2)=1</formula>
    </cfRule>
  </conditionalFormatting>
  <conditionalFormatting sqref="W56">
    <cfRule type="expression" dxfId="72" priority="240">
      <formula>MOD(ROW(),2)=1</formula>
    </cfRule>
  </conditionalFormatting>
  <conditionalFormatting sqref="U26">
    <cfRule type="expression" dxfId="71" priority="77">
      <formula>MOD(ROW(),2)=1</formula>
    </cfRule>
  </conditionalFormatting>
  <conditionalFormatting sqref="AC6 AC8 AC16 AC18 AC20 AG8 AG6 AG20 AG18 AG16">
    <cfRule type="expression" dxfId="70" priority="47">
      <formula>MOD(ROW(),2)=1</formula>
    </cfRule>
  </conditionalFormatting>
  <conditionalFormatting sqref="AD6 AD8">
    <cfRule type="expression" dxfId="69" priority="45">
      <formula>MOD(ROW(),2)=1</formula>
    </cfRule>
  </conditionalFormatting>
  <conditionalFormatting sqref="AD12 AD14">
    <cfRule type="expression" dxfId="68" priority="44">
      <formula>MOD(ROW(),2)=1</formula>
    </cfRule>
  </conditionalFormatting>
  <conditionalFormatting sqref="AD16 AD18 AD20 AD22">
    <cfRule type="expression" dxfId="67" priority="43">
      <formula>MOD(ROW(),2)=1</formula>
    </cfRule>
  </conditionalFormatting>
  <conditionalFormatting sqref="Y4">
    <cfRule type="expression" dxfId="66" priority="40">
      <formula>MOD(ROW(),2)=1</formula>
    </cfRule>
  </conditionalFormatting>
  <conditionalFormatting sqref="Y6">
    <cfRule type="expression" dxfId="65" priority="39">
      <formula>MOD(ROW(),2)=1</formula>
    </cfRule>
  </conditionalFormatting>
  <conditionalFormatting sqref="Y8">
    <cfRule type="expression" dxfId="64" priority="38">
      <formula>MOD(ROW(),2)=1</formula>
    </cfRule>
  </conditionalFormatting>
  <conditionalFormatting sqref="Y12">
    <cfRule type="expression" dxfId="63" priority="36">
      <formula>MOD(ROW(),2)=1</formula>
    </cfRule>
  </conditionalFormatting>
  <conditionalFormatting sqref="Y16">
    <cfRule type="expression" dxfId="62" priority="35">
      <formula>MOD(ROW(),2)=1</formula>
    </cfRule>
  </conditionalFormatting>
  <conditionalFormatting sqref="Y18">
    <cfRule type="expression" dxfId="61" priority="34">
      <formula>MOD(ROW(),2)=1</formula>
    </cfRule>
  </conditionalFormatting>
  <conditionalFormatting sqref="Y22">
    <cfRule type="expression" dxfId="60" priority="33">
      <formula>MOD(ROW(),2)=1</formula>
    </cfRule>
  </conditionalFormatting>
  <conditionalFormatting sqref="W4">
    <cfRule type="expression" dxfId="59" priority="30">
      <formula>MOD(ROW(),2)=1</formula>
    </cfRule>
  </conditionalFormatting>
  <conditionalFormatting sqref="W6">
    <cfRule type="expression" dxfId="58" priority="29">
      <formula>MOD(ROW(),2)=1</formula>
    </cfRule>
  </conditionalFormatting>
  <conditionalFormatting sqref="W8">
    <cfRule type="expression" dxfId="57" priority="28">
      <formula>MOD(ROW(),2)=1</formula>
    </cfRule>
  </conditionalFormatting>
  <conditionalFormatting sqref="W12">
    <cfRule type="expression" dxfId="56" priority="26">
      <formula>MOD(ROW(),2)=1</formula>
    </cfRule>
  </conditionalFormatting>
  <conditionalFormatting sqref="W16">
    <cfRule type="expression" dxfId="55" priority="25">
      <formula>MOD(ROW(),2)=1</formula>
    </cfRule>
  </conditionalFormatting>
  <conditionalFormatting sqref="W18">
    <cfRule type="expression" dxfId="54" priority="24">
      <formula>MOD(ROW(),2)=1</formula>
    </cfRule>
  </conditionalFormatting>
  <conditionalFormatting sqref="W22">
    <cfRule type="expression" dxfId="53" priority="23">
      <formula>MOD(ROW(),2)=1</formula>
    </cfRule>
  </conditionalFormatting>
  <conditionalFormatting sqref="U2 U4">
    <cfRule type="expression" dxfId="52" priority="20">
      <formula>MOD(ROW(),2)=1</formula>
    </cfRule>
  </conditionalFormatting>
  <conditionalFormatting sqref="U8 U6">
    <cfRule type="expression" dxfId="51" priority="19">
      <formula>MOD(ROW(),2)=1</formula>
    </cfRule>
  </conditionalFormatting>
  <conditionalFormatting sqref="U12 U14">
    <cfRule type="expression" dxfId="50" priority="17">
      <formula>MOD(ROW(),2)=1</formula>
    </cfRule>
  </conditionalFormatting>
  <conditionalFormatting sqref="U16">
    <cfRule type="expression" dxfId="49" priority="16">
      <formula>MOD(ROW(),2)=1</formula>
    </cfRule>
  </conditionalFormatting>
  <conditionalFormatting sqref="U18 U20">
    <cfRule type="expression" dxfId="48" priority="15">
      <formula>MOD(ROW(),2)=1</formula>
    </cfRule>
  </conditionalFormatting>
  <conditionalFormatting sqref="W10">
    <cfRule type="expression" dxfId="47" priority="10">
      <formula>MOD(ROW(),2)=1</formula>
    </cfRule>
  </conditionalFormatting>
  <conditionalFormatting sqref="AC10 AG10">
    <cfRule type="expression" dxfId="46" priority="13">
      <formula>MOD(ROW(),2)=1</formula>
    </cfRule>
  </conditionalFormatting>
  <conditionalFormatting sqref="AD10">
    <cfRule type="expression" dxfId="45" priority="12">
      <formula>MOD(ROW(),2)=1</formula>
    </cfRule>
  </conditionalFormatting>
  <conditionalFormatting sqref="Y10">
    <cfRule type="expression" dxfId="44" priority="11">
      <formula>MOD(ROW(),2)=1</formula>
    </cfRule>
  </conditionalFormatting>
  <conditionalFormatting sqref="AC24 AG24">
    <cfRule type="expression" dxfId="43" priority="9">
      <formula>MOD(ROW(),2)=1</formula>
    </cfRule>
  </conditionalFormatting>
  <conditionalFormatting sqref="AD24">
    <cfRule type="expression" dxfId="42" priority="8">
      <formula>MOD(ROW(),2)=1</formula>
    </cfRule>
  </conditionalFormatting>
  <conditionalFormatting sqref="Y24">
    <cfRule type="expression" dxfId="41" priority="6">
      <formula>MOD(ROW(),2)=1</formula>
    </cfRule>
  </conditionalFormatting>
  <conditionalFormatting sqref="W24">
    <cfRule type="expression" dxfId="40" priority="4">
      <formula>MOD(ROW(),2)=1</formula>
    </cfRule>
  </conditionalFormatting>
  <conditionalFormatting sqref="U10">
    <cfRule type="expression" dxfId="39" priority="3">
      <formula>MOD(ROW(),2)=1</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409"/>
  <sheetViews>
    <sheetView workbookViewId="0"/>
  </sheetViews>
  <sheetFormatPr defaultRowHeight="15" x14ac:dyDescent="0.25"/>
  <cols>
    <col min="2" max="2" width="11" bestFit="1" customWidth="1"/>
    <col min="3" max="3" width="9.140625" style="35"/>
  </cols>
  <sheetData>
    <row r="3" spans="1:5" x14ac:dyDescent="0.25">
      <c r="A3" t="str">
        <f>'LLM Single'!B3</f>
        <v xml:space="preserve">Gehring, R. E., Toglia, M. P., &amp; Kimble, G. A. (1976). Recognition memory for words and pictures at short and long retention intervals. Memory &amp; Cognition, 4(3), 256-260.
</v>
      </c>
      <c r="B3">
        <f>'LLM Single'!AA3</f>
        <v>5270400</v>
      </c>
      <c r="C3" s="35">
        <f>B3/(60*60*24*365)</f>
        <v>0.16712328767123288</v>
      </c>
      <c r="D3" s="35">
        <f>'LLM Single'!AM3</f>
        <v>-0.15722364664076066</v>
      </c>
    </row>
    <row r="5" spans="1:5" x14ac:dyDescent="0.25">
      <c r="A5" t="str">
        <f>'LLM Single'!B5</f>
        <v xml:space="preserve">Gehring, R. E., Toglia, M. P., &amp; Kimble, G. A. (1976). Recognition memory for words and pictures at short and long retention intervals. Memory &amp; Cognition, 4(3), 256-260.
</v>
      </c>
      <c r="B5">
        <f>'LLM Single'!AA5</f>
        <v>5270400</v>
      </c>
      <c r="C5" s="35">
        <f>B5/(60*60*24*365)</f>
        <v>0.16712328767123288</v>
      </c>
      <c r="D5" s="35">
        <f>'LLM Single'!AM5</f>
        <v>-0.14616358275273308</v>
      </c>
    </row>
    <row r="7" spans="1:5" x14ac:dyDescent="0.25">
      <c r="A7" t="str">
        <f>'LLM Single'!B7</f>
        <v>Nunoi, M., &amp; Yoshikawa, S. (2016). Deep processing makes stimuli more preferable over long durations. Journal of Cognitive Psychology, 28(6), 756-763.</v>
      </c>
      <c r="B7">
        <f>'LLM Single'!AA7</f>
        <v>3628800</v>
      </c>
      <c r="C7" s="35">
        <f>B7/(60*60*24*365)</f>
        <v>0.11506849315068493</v>
      </c>
      <c r="D7" s="35">
        <f>'LLM Single'!AM7</f>
        <v>-7.3519163835050028E-2</v>
      </c>
    </row>
    <row r="9" spans="1:5" x14ac:dyDescent="0.25">
      <c r="A9" t="str">
        <f>'LLM Single'!B9</f>
        <v>Nunoi, M., &amp; Yoshikawa, S. (2016). Deep processing makes stimuli more preferable over long durations. Journal of Cognitive Psychology, 28(6), 756-763.</v>
      </c>
      <c r="B9">
        <f>'LLM Single'!AA9</f>
        <v>3628800</v>
      </c>
      <c r="C9" s="35">
        <f>B9/(60*60*24*365)</f>
        <v>0.11506849315068493</v>
      </c>
      <c r="D9" s="35">
        <f>'LLM Single'!AM9</f>
        <v>-0.17559401246769624</v>
      </c>
    </row>
    <row r="11" spans="1:5" x14ac:dyDescent="0.25">
      <c r="A11" t="str">
        <f>'LLM Single'!B11</f>
        <v xml:space="preserve">Seamon, J. G., Luo, C. R., Kopecky, J. J., Price, C. A., Rothschild, L., Fung, N. S., &amp; Schwartz, M. A. (2002). Are false memories more difficult to forget than accurate memories? The effect of retention interval on recall and recognition. Memory and Cognition, 30(7), 1054-1064.
</v>
      </c>
      <c r="B11">
        <f>'LLM Single'!AA11</f>
        <v>5270400</v>
      </c>
      <c r="C11" s="35">
        <f>B11/(60*60*24*365)</f>
        <v>0.16712328767123288</v>
      </c>
      <c r="D11" s="35">
        <f>'LLM Single'!AM11</f>
        <v>-0.11509432096161484</v>
      </c>
    </row>
    <row r="13" spans="1:5" x14ac:dyDescent="0.25">
      <c r="A13" t="str">
        <f>'LLM Single'!B13</f>
        <v>Smith, D. A., &amp; Graesser, A. C. (1981). Memory for actions in scripted activities as a function of typicality, retention interval, and retrieval task. Memory &amp; Cognition, 9(6), 550-559.</v>
      </c>
      <c r="B13">
        <f>'LLM Single'!AA13</f>
        <v>1814400</v>
      </c>
      <c r="C13" s="35">
        <f>B13/(60*60*24*365)</f>
        <v>5.7534246575342465E-2</v>
      </c>
      <c r="D13" s="35">
        <f>'LLM Single'!AM13</f>
        <v>-0.23339505230936583</v>
      </c>
      <c r="E13" s="35"/>
    </row>
    <row r="15" spans="1:5" x14ac:dyDescent="0.25">
      <c r="A15" t="str">
        <f>'LLM Single'!B15</f>
        <v>Smith, D. A., &amp; Graesser, A. C. (1981). Memory for actions in scripted activities as a function of typicality, retention interval, and retrieval task. Memory &amp; Cognition, 9(6), 550-559.</v>
      </c>
      <c r="B15">
        <f>'LLM Single'!AA15</f>
        <v>1814400</v>
      </c>
      <c r="C15" s="35">
        <f>B15/(60*60*24*365)</f>
        <v>5.7534246575342465E-2</v>
      </c>
      <c r="D15" s="35">
        <f>'LLM Single'!AM15</f>
        <v>-0.13051652649325521</v>
      </c>
    </row>
    <row r="17" spans="1:8" x14ac:dyDescent="0.25">
      <c r="A17" t="str">
        <f>'LLM Single'!B17</f>
        <v>Strong, E. K., (1913). The effect of time-interval upon recognition memory. The Psychological Review, 20(5), 339-372.</v>
      </c>
      <c r="B17">
        <f>'LLM Single'!AA17</f>
        <v>3628800</v>
      </c>
      <c r="C17" s="35">
        <f>B17/(60*60*24*365)</f>
        <v>0.11506849315068493</v>
      </c>
      <c r="D17" s="35">
        <f>'LLM Single'!AM17</f>
        <v>-0.17446648100447038</v>
      </c>
    </row>
    <row r="18" spans="1:8" x14ac:dyDescent="0.25">
      <c r="G18" s="67">
        <f>AVERAGE(D2:D25)</f>
        <v>-0.15348342794329381</v>
      </c>
      <c r="H18" s="66">
        <f xml:space="preserve"> STDEV(D2:D25)/SQRT(COUNT(D2:D25))</f>
        <v>2.0951490643730065E-2</v>
      </c>
    </row>
    <row r="19" spans="1:8" x14ac:dyDescent="0.25">
      <c r="A19" t="str">
        <f>'LLM Single'!B19</f>
        <v xml:space="preserve">Takashima, A., Petersson, K. M., Rutters, F., Tendolkar, I., Jensen, O., Zwarts, M. J., McNaughton, B.L., &amp; Fernandez, G. (2006). Declarative memory consolidation in humans: A prospective functional magnetic resonance imaging study. Proceedings of the National Academy of Sciences of the United States of America, 103(3), 756-761.
</v>
      </c>
      <c r="B19">
        <f>'LLM Single'!AA19</f>
        <v>7776000</v>
      </c>
      <c r="C19" s="35">
        <f>B19/(60*60*24*365)</f>
        <v>0.24657534246575341</v>
      </c>
      <c r="D19" s="35">
        <f>'LLM Single'!AM19</f>
        <v>-0.22999800949898919</v>
      </c>
    </row>
    <row r="21" spans="1:8" x14ac:dyDescent="0.25">
      <c r="A21" t="str">
        <f>'LLM Single'!B21</f>
        <v xml:space="preserve">Takashima, A., Petersson, K. M., Rutters, F., Tendolkar, I., Jensen, O., Zwarts, M. J., McNaughton, B.L., &amp; Fernandez, G. (2006). Declarative memory consolidation in humans: A prospective functional magnetic resonance imaging study. Proceedings of the National Academy of Sciences of the United States of America, 103(3), 756-761.
</v>
      </c>
      <c r="B21">
        <f>'LLM Single'!AA21</f>
        <v>7776000</v>
      </c>
      <c r="C21" s="35">
        <f>B21/(60*60*24*365)</f>
        <v>0.24657534246575341</v>
      </c>
      <c r="D21" s="35">
        <f>'LLM Single'!AM21</f>
        <v>-1.9484243959720874E-2</v>
      </c>
    </row>
    <row r="22" spans="1:8" x14ac:dyDescent="0.25">
      <c r="D22" s="35"/>
    </row>
    <row r="23" spans="1:8" x14ac:dyDescent="0.25">
      <c r="A23" t="str">
        <f>'LLM Single'!B23</f>
        <v>Talamini, L. M., &amp; Gorree, E. (2012). Aging memories: Differential decay of episodic memory components. Learning &amp; Memory, 19(6), 239-246.</v>
      </c>
      <c r="B23">
        <f>'LLM Single'!AA23</f>
        <v>7862400</v>
      </c>
      <c r="C23" s="35">
        <f>B23/(60*60*24*365)</f>
        <v>0.24931506849315069</v>
      </c>
      <c r="D23" s="35">
        <f>'LLM Single'!AM23</f>
        <v>-0.10598219026252227</v>
      </c>
    </row>
    <row r="25" spans="1:8" x14ac:dyDescent="0.25">
      <c r="A25" t="str">
        <f>'LLM Single'!B25</f>
        <v>Wickelgren, W. (1975). Alcoholic intoxication and memory storage dynamics. Memory &amp; Cognition, 3(4), 385-9.</v>
      </c>
      <c r="B25">
        <f>'LLM Single'!AA25</f>
        <v>1209600</v>
      </c>
      <c r="C25" s="35">
        <f>B25/(60*60*24*365)</f>
        <v>3.8356164383561646E-2</v>
      </c>
      <c r="D25" s="35">
        <f>'LLM Single'!AM25</f>
        <v>-0.28036390513334736</v>
      </c>
    </row>
    <row r="27" spans="1:8" x14ac:dyDescent="0.25">
      <c r="D27" s="35"/>
    </row>
    <row r="29" spans="1:8" x14ac:dyDescent="0.25">
      <c r="D29" s="35"/>
    </row>
    <row r="31" spans="1:8" x14ac:dyDescent="0.25">
      <c r="D31" s="35"/>
    </row>
    <row r="33" spans="4:4" x14ac:dyDescent="0.25">
      <c r="D33" s="35"/>
    </row>
    <row r="35" spans="4:4" x14ac:dyDescent="0.25">
      <c r="D35" s="35"/>
    </row>
    <row r="37" spans="4:4" x14ac:dyDescent="0.25">
      <c r="D37" s="35"/>
    </row>
    <row r="39" spans="4:4" x14ac:dyDescent="0.25">
      <c r="D39" s="35"/>
    </row>
    <row r="41" spans="4:4" x14ac:dyDescent="0.25">
      <c r="D41" s="35"/>
    </row>
    <row r="43" spans="4:4" x14ac:dyDescent="0.25">
      <c r="D43" s="35"/>
    </row>
    <row r="45" spans="4:4" x14ac:dyDescent="0.25">
      <c r="D45" s="35"/>
    </row>
    <row r="47" spans="4:4" x14ac:dyDescent="0.25">
      <c r="D47" s="35"/>
    </row>
    <row r="49" spans="4:4" x14ac:dyDescent="0.25">
      <c r="D49" s="35"/>
    </row>
    <row r="51" spans="4:4" x14ac:dyDescent="0.25">
      <c r="D51" s="35"/>
    </row>
    <row r="53" spans="4:4" x14ac:dyDescent="0.25">
      <c r="D53" s="35"/>
    </row>
    <row r="55" spans="4:4" x14ac:dyDescent="0.25">
      <c r="D55" s="35"/>
    </row>
    <row r="57" spans="4:4" x14ac:dyDescent="0.25">
      <c r="D57" s="35"/>
    </row>
    <row r="59" spans="4:4" x14ac:dyDescent="0.25">
      <c r="D59" s="35"/>
    </row>
    <row r="61" spans="4:4" x14ac:dyDescent="0.25">
      <c r="D61" s="35"/>
    </row>
    <row r="63" spans="4:4" x14ac:dyDescent="0.25">
      <c r="D63" s="35"/>
    </row>
    <row r="65" spans="4:4" x14ac:dyDescent="0.25">
      <c r="D65" s="35"/>
    </row>
    <row r="67" spans="4:4" x14ac:dyDescent="0.25">
      <c r="D67" s="35"/>
    </row>
    <row r="69" spans="4:4" x14ac:dyDescent="0.25">
      <c r="D69" s="35"/>
    </row>
    <row r="71" spans="4:4" x14ac:dyDescent="0.25">
      <c r="D71" s="35"/>
    </row>
    <row r="73" spans="4:4" x14ac:dyDescent="0.25">
      <c r="D73" s="35"/>
    </row>
    <row r="75" spans="4:4" x14ac:dyDescent="0.25">
      <c r="D75" s="35"/>
    </row>
    <row r="77" spans="4:4" x14ac:dyDescent="0.25">
      <c r="D77" s="35"/>
    </row>
    <row r="79" spans="4:4" x14ac:dyDescent="0.25">
      <c r="D79" s="35"/>
    </row>
    <row r="81" spans="4:4" x14ac:dyDescent="0.25">
      <c r="D81" s="35"/>
    </row>
    <row r="83" spans="4:4" x14ac:dyDescent="0.25">
      <c r="D83" s="35"/>
    </row>
    <row r="85" spans="4:4" x14ac:dyDescent="0.25">
      <c r="D85" s="35"/>
    </row>
    <row r="87" spans="4:4" x14ac:dyDescent="0.25">
      <c r="D87" s="35"/>
    </row>
    <row r="89" spans="4:4" x14ac:dyDescent="0.25">
      <c r="D89" s="35"/>
    </row>
    <row r="91" spans="4:4" x14ac:dyDescent="0.25">
      <c r="D91" s="35"/>
    </row>
    <row r="93" spans="4:4" x14ac:dyDescent="0.25">
      <c r="D93" s="35"/>
    </row>
    <row r="95" spans="4:4" x14ac:dyDescent="0.25">
      <c r="D95" s="35"/>
    </row>
    <row r="97" spans="4:4" x14ac:dyDescent="0.25">
      <c r="D97" s="35"/>
    </row>
    <row r="99" spans="4:4" x14ac:dyDescent="0.25">
      <c r="D99" s="35"/>
    </row>
    <row r="101" spans="4:4" x14ac:dyDescent="0.25">
      <c r="D101" s="35"/>
    </row>
    <row r="103" spans="4:4" x14ac:dyDescent="0.25">
      <c r="D103" s="35"/>
    </row>
    <row r="105" spans="4:4" x14ac:dyDescent="0.25">
      <c r="D105" s="35"/>
    </row>
    <row r="107" spans="4:4" x14ac:dyDescent="0.25">
      <c r="D107" s="35"/>
    </row>
    <row r="109" spans="4:4" x14ac:dyDescent="0.25">
      <c r="D109" s="35"/>
    </row>
    <row r="111" spans="4:4" x14ac:dyDescent="0.25">
      <c r="D111" s="35"/>
    </row>
    <row r="113" spans="4:4" x14ac:dyDescent="0.25">
      <c r="D113" s="35"/>
    </row>
    <row r="115" spans="4:4" x14ac:dyDescent="0.25">
      <c r="D115" s="35"/>
    </row>
    <row r="117" spans="4:4" x14ac:dyDescent="0.25">
      <c r="D117" s="35"/>
    </row>
    <row r="119" spans="4:4" x14ac:dyDescent="0.25">
      <c r="D119" s="35"/>
    </row>
    <row r="121" spans="4:4" x14ac:dyDescent="0.25">
      <c r="D121" s="35"/>
    </row>
    <row r="123" spans="4:4" x14ac:dyDescent="0.25">
      <c r="D123" s="35"/>
    </row>
    <row r="125" spans="4:4" x14ac:dyDescent="0.25">
      <c r="D125" s="35"/>
    </row>
    <row r="127" spans="4:4" x14ac:dyDescent="0.25">
      <c r="D127" s="35"/>
    </row>
    <row r="129" spans="4:4" x14ac:dyDescent="0.25">
      <c r="D129" s="35"/>
    </row>
    <row r="131" spans="4:4" x14ac:dyDescent="0.25">
      <c r="D131" s="35"/>
    </row>
    <row r="133" spans="4:4" x14ac:dyDescent="0.25">
      <c r="D133" s="35"/>
    </row>
    <row r="135" spans="4:4" x14ac:dyDescent="0.25">
      <c r="D135" s="35"/>
    </row>
    <row r="137" spans="4:4" x14ac:dyDescent="0.25">
      <c r="D137" s="35"/>
    </row>
    <row r="139" spans="4:4" x14ac:dyDescent="0.25">
      <c r="D139" s="35"/>
    </row>
    <row r="141" spans="4:4" x14ac:dyDescent="0.25">
      <c r="D141" s="35"/>
    </row>
    <row r="143" spans="4:4" x14ac:dyDescent="0.25">
      <c r="D143" s="35"/>
    </row>
    <row r="145" spans="4:4" x14ac:dyDescent="0.25">
      <c r="D145" s="35"/>
    </row>
    <row r="147" spans="4:4" x14ac:dyDescent="0.25">
      <c r="D147" s="35"/>
    </row>
    <row r="149" spans="4:4" x14ac:dyDescent="0.25">
      <c r="D149" s="35"/>
    </row>
    <row r="151" spans="4:4" x14ac:dyDescent="0.25">
      <c r="D151" s="35"/>
    </row>
    <row r="153" spans="4:4" x14ac:dyDescent="0.25">
      <c r="D153" s="35"/>
    </row>
    <row r="155" spans="4:4" x14ac:dyDescent="0.25">
      <c r="D155" s="35"/>
    </row>
    <row r="157" spans="4:4" x14ac:dyDescent="0.25">
      <c r="D157" s="35"/>
    </row>
    <row r="159" spans="4:4" x14ac:dyDescent="0.25">
      <c r="D159" s="35"/>
    </row>
    <row r="161" spans="4:4" x14ac:dyDescent="0.25">
      <c r="D161" s="35"/>
    </row>
    <row r="163" spans="4:4" x14ac:dyDescent="0.25">
      <c r="D163" s="35"/>
    </row>
    <row r="165" spans="4:4" x14ac:dyDescent="0.25">
      <c r="D165" s="35"/>
    </row>
    <row r="167" spans="4:4" x14ac:dyDescent="0.25">
      <c r="D167" s="35"/>
    </row>
    <row r="169" spans="4:4" x14ac:dyDescent="0.25">
      <c r="D169" s="35"/>
    </row>
    <row r="171" spans="4:4" x14ac:dyDescent="0.25">
      <c r="D171" s="35"/>
    </row>
    <row r="173" spans="4:4" x14ac:dyDescent="0.25">
      <c r="D173" s="35"/>
    </row>
    <row r="175" spans="4:4" x14ac:dyDescent="0.25">
      <c r="D175" s="35"/>
    </row>
    <row r="177" spans="4:4" x14ac:dyDescent="0.25">
      <c r="D177" s="35"/>
    </row>
    <row r="179" spans="4:4" x14ac:dyDescent="0.25">
      <c r="D179" s="35"/>
    </row>
    <row r="181" spans="4:4" x14ac:dyDescent="0.25">
      <c r="D181" s="35"/>
    </row>
    <row r="183" spans="4:4" x14ac:dyDescent="0.25">
      <c r="D183" s="35"/>
    </row>
    <row r="185" spans="4:4" x14ac:dyDescent="0.25">
      <c r="D185" s="35"/>
    </row>
    <row r="187" spans="4:4" x14ac:dyDescent="0.25">
      <c r="D187" s="35"/>
    </row>
    <row r="189" spans="4:4" x14ac:dyDescent="0.25">
      <c r="D189" s="35"/>
    </row>
    <row r="191" spans="4:4" x14ac:dyDescent="0.25">
      <c r="D191" s="35"/>
    </row>
    <row r="193" spans="4:4" x14ac:dyDescent="0.25">
      <c r="D193" s="35"/>
    </row>
    <row r="195" spans="4:4" x14ac:dyDescent="0.25">
      <c r="D195" s="35"/>
    </row>
    <row r="197" spans="4:4" x14ac:dyDescent="0.25">
      <c r="D197" s="35"/>
    </row>
    <row r="199" spans="4:4" x14ac:dyDescent="0.25">
      <c r="D199" s="35"/>
    </row>
    <row r="201" spans="4:4" x14ac:dyDescent="0.25">
      <c r="D201" s="35"/>
    </row>
    <row r="203" spans="4:4" x14ac:dyDescent="0.25">
      <c r="D203" s="35"/>
    </row>
    <row r="205" spans="4:4" x14ac:dyDescent="0.25">
      <c r="D205" s="35"/>
    </row>
    <row r="207" spans="4:4" x14ac:dyDescent="0.25">
      <c r="D207" s="35"/>
    </row>
    <row r="209" spans="4:4" x14ac:dyDescent="0.25">
      <c r="D209" s="35"/>
    </row>
    <row r="211" spans="4:4" x14ac:dyDescent="0.25">
      <c r="D211" s="35"/>
    </row>
    <row r="213" spans="4:4" x14ac:dyDescent="0.25">
      <c r="D213" s="35"/>
    </row>
    <row r="215" spans="4:4" x14ac:dyDescent="0.25">
      <c r="D215" s="35"/>
    </row>
    <row r="217" spans="4:4" x14ac:dyDescent="0.25">
      <c r="D217" s="35"/>
    </row>
    <row r="219" spans="4:4" x14ac:dyDescent="0.25">
      <c r="D219" s="35"/>
    </row>
    <row r="221" spans="4:4" x14ac:dyDescent="0.25">
      <c r="D221" s="35"/>
    </row>
    <row r="223" spans="4:4" x14ac:dyDescent="0.25">
      <c r="D223" s="35"/>
    </row>
    <row r="225" spans="4:4" x14ac:dyDescent="0.25">
      <c r="D225" s="35"/>
    </row>
    <row r="227" spans="4:4" x14ac:dyDescent="0.25">
      <c r="D227" s="35"/>
    </row>
    <row r="229" spans="4:4" x14ac:dyDescent="0.25">
      <c r="D229" s="35"/>
    </row>
    <row r="231" spans="4:4" x14ac:dyDescent="0.25">
      <c r="D231" s="35"/>
    </row>
    <row r="233" spans="4:4" x14ac:dyDescent="0.25">
      <c r="D233" s="35"/>
    </row>
    <row r="235" spans="4:4" x14ac:dyDescent="0.25">
      <c r="D235" s="35"/>
    </row>
    <row r="237" spans="4:4" x14ac:dyDescent="0.25">
      <c r="D237" s="35"/>
    </row>
    <row r="239" spans="4:4" x14ac:dyDescent="0.25">
      <c r="D239" s="35"/>
    </row>
    <row r="241" spans="4:4" x14ac:dyDescent="0.25">
      <c r="D241" s="35"/>
    </row>
    <row r="243" spans="4:4" x14ac:dyDescent="0.25">
      <c r="D243" s="35"/>
    </row>
    <row r="245" spans="4:4" x14ac:dyDescent="0.25">
      <c r="D245" s="35"/>
    </row>
    <row r="247" spans="4:4" x14ac:dyDescent="0.25">
      <c r="D247" s="35"/>
    </row>
    <row r="249" spans="4:4" x14ac:dyDescent="0.25">
      <c r="D249" s="35"/>
    </row>
    <row r="251" spans="4:4" x14ac:dyDescent="0.25">
      <c r="D251" s="35"/>
    </row>
    <row r="253" spans="4:4" x14ac:dyDescent="0.25">
      <c r="D253" s="35"/>
    </row>
    <row r="255" spans="4:4" x14ac:dyDescent="0.25">
      <c r="D255" s="35"/>
    </row>
    <row r="257" spans="4:5" x14ac:dyDescent="0.25">
      <c r="D257" s="35"/>
      <c r="E257" s="35">
        <f>'LLM Single'!AM38</f>
        <v>0</v>
      </c>
    </row>
    <row r="259" spans="4:5" x14ac:dyDescent="0.25">
      <c r="D259" s="35"/>
    </row>
    <row r="261" spans="4:5" x14ac:dyDescent="0.25">
      <c r="D261" s="35"/>
    </row>
    <row r="263" spans="4:5" x14ac:dyDescent="0.25">
      <c r="D263" s="35"/>
    </row>
    <row r="265" spans="4:5" x14ac:dyDescent="0.25">
      <c r="D265" s="35"/>
    </row>
    <row r="267" spans="4:5" x14ac:dyDescent="0.25">
      <c r="D267" s="35"/>
    </row>
    <row r="269" spans="4:5" x14ac:dyDescent="0.25">
      <c r="D269" s="35"/>
    </row>
    <row r="271" spans="4:5" x14ac:dyDescent="0.25">
      <c r="D271" s="35"/>
    </row>
    <row r="273" spans="4:4" x14ac:dyDescent="0.25">
      <c r="D273" s="35"/>
    </row>
    <row r="275" spans="4:4" x14ac:dyDescent="0.25">
      <c r="D275" s="35"/>
    </row>
    <row r="277" spans="4:4" x14ac:dyDescent="0.25">
      <c r="D277" s="35"/>
    </row>
    <row r="279" spans="4:4" x14ac:dyDescent="0.25">
      <c r="D279" s="35"/>
    </row>
    <row r="281" spans="4:4" x14ac:dyDescent="0.25">
      <c r="D281" s="35"/>
    </row>
    <row r="283" spans="4:4" x14ac:dyDescent="0.25">
      <c r="D283" s="35"/>
    </row>
    <row r="285" spans="4:4" x14ac:dyDescent="0.25">
      <c r="D285" s="35"/>
    </row>
    <row r="287" spans="4:4" x14ac:dyDescent="0.25">
      <c r="D287" s="35"/>
    </row>
    <row r="289" spans="4:4" x14ac:dyDescent="0.25">
      <c r="D289" s="35"/>
    </row>
    <row r="291" spans="4:4" x14ac:dyDescent="0.25">
      <c r="D291" s="35"/>
    </row>
    <row r="293" spans="4:4" x14ac:dyDescent="0.25">
      <c r="D293" s="35"/>
    </row>
    <row r="295" spans="4:4" x14ac:dyDescent="0.25">
      <c r="D295" s="35"/>
    </row>
    <row r="297" spans="4:4" x14ac:dyDescent="0.25">
      <c r="D297" s="35"/>
    </row>
    <row r="299" spans="4:4" x14ac:dyDescent="0.25">
      <c r="D299" s="35"/>
    </row>
    <row r="301" spans="4:4" x14ac:dyDescent="0.25">
      <c r="D301" s="35"/>
    </row>
    <row r="303" spans="4:4" x14ac:dyDescent="0.25">
      <c r="D303" s="35"/>
    </row>
    <row r="305" spans="4:4" x14ac:dyDescent="0.25">
      <c r="D305" s="35"/>
    </row>
    <row r="307" spans="4:4" x14ac:dyDescent="0.25">
      <c r="D307" s="35"/>
    </row>
    <row r="309" spans="4:4" x14ac:dyDescent="0.25">
      <c r="D309" s="35"/>
    </row>
    <row r="311" spans="4:4" x14ac:dyDescent="0.25">
      <c r="D311" s="35"/>
    </row>
    <row r="313" spans="4:4" x14ac:dyDescent="0.25">
      <c r="D313" s="35"/>
    </row>
    <row r="315" spans="4:4" x14ac:dyDescent="0.25">
      <c r="D315" s="35"/>
    </row>
    <row r="317" spans="4:4" x14ac:dyDescent="0.25">
      <c r="D317" s="35"/>
    </row>
    <row r="319" spans="4:4" x14ac:dyDescent="0.25">
      <c r="D319" s="35"/>
    </row>
    <row r="321" spans="4:4" x14ac:dyDescent="0.25">
      <c r="D321" s="35"/>
    </row>
    <row r="323" spans="4:4" x14ac:dyDescent="0.25">
      <c r="D323" s="35"/>
    </row>
    <row r="325" spans="4:4" x14ac:dyDescent="0.25">
      <c r="D325" s="35"/>
    </row>
    <row r="327" spans="4:4" x14ac:dyDescent="0.25">
      <c r="D327" s="35"/>
    </row>
    <row r="329" spans="4:4" x14ac:dyDescent="0.25">
      <c r="D329" s="35"/>
    </row>
    <row r="331" spans="4:4" x14ac:dyDescent="0.25">
      <c r="D331" s="35"/>
    </row>
    <row r="333" spans="4:4" x14ac:dyDescent="0.25">
      <c r="D333" s="35"/>
    </row>
    <row r="335" spans="4:4" x14ac:dyDescent="0.25">
      <c r="D335" s="35"/>
    </row>
    <row r="337" spans="4:4" x14ac:dyDescent="0.25">
      <c r="D337" s="35"/>
    </row>
    <row r="339" spans="4:4" x14ac:dyDescent="0.25">
      <c r="D339" s="35"/>
    </row>
    <row r="341" spans="4:4" x14ac:dyDescent="0.25">
      <c r="D341" s="35"/>
    </row>
    <row r="343" spans="4:4" x14ac:dyDescent="0.25">
      <c r="D343" s="35"/>
    </row>
    <row r="345" spans="4:4" x14ac:dyDescent="0.25">
      <c r="D345" s="35"/>
    </row>
    <row r="347" spans="4:4" x14ac:dyDescent="0.25">
      <c r="D347" s="35"/>
    </row>
    <row r="349" spans="4:4" x14ac:dyDescent="0.25">
      <c r="D349" s="35"/>
    </row>
    <row r="351" spans="4:4" x14ac:dyDescent="0.25">
      <c r="D351" s="35"/>
    </row>
    <row r="353" spans="4:4" x14ac:dyDescent="0.25">
      <c r="D353" s="35"/>
    </row>
    <row r="355" spans="4:4" x14ac:dyDescent="0.25">
      <c r="D355" s="35"/>
    </row>
    <row r="357" spans="4:4" x14ac:dyDescent="0.25">
      <c r="D357" s="35"/>
    </row>
    <row r="359" spans="4:4" x14ac:dyDescent="0.25">
      <c r="D359" s="35"/>
    </row>
    <row r="361" spans="4:4" x14ac:dyDescent="0.25">
      <c r="D361" s="35"/>
    </row>
    <row r="363" spans="4:4" x14ac:dyDescent="0.25">
      <c r="D363" s="35"/>
    </row>
    <row r="365" spans="4:4" x14ac:dyDescent="0.25">
      <c r="D365" s="35"/>
    </row>
    <row r="367" spans="4:4" x14ac:dyDescent="0.25">
      <c r="D367" s="35"/>
    </row>
    <row r="369" spans="4:4" x14ac:dyDescent="0.25">
      <c r="D369" s="35"/>
    </row>
    <row r="371" spans="4:4" x14ac:dyDescent="0.25">
      <c r="D371" s="35"/>
    </row>
    <row r="373" spans="4:4" x14ac:dyDescent="0.25">
      <c r="D373" s="35"/>
    </row>
    <row r="375" spans="4:4" x14ac:dyDescent="0.25">
      <c r="D375" s="35"/>
    </row>
    <row r="377" spans="4:4" x14ac:dyDescent="0.25">
      <c r="D377" s="35"/>
    </row>
    <row r="379" spans="4:4" x14ac:dyDescent="0.25">
      <c r="D379" s="35"/>
    </row>
    <row r="381" spans="4:4" x14ac:dyDescent="0.25">
      <c r="D381" s="35"/>
    </row>
    <row r="383" spans="4:4" x14ac:dyDescent="0.25">
      <c r="D383" s="35"/>
    </row>
    <row r="385" spans="4:4" x14ac:dyDescent="0.25">
      <c r="D385" s="35"/>
    </row>
    <row r="387" spans="4:4" x14ac:dyDescent="0.25">
      <c r="D387" s="35"/>
    </row>
    <row r="389" spans="4:4" x14ac:dyDescent="0.25">
      <c r="D389" s="35"/>
    </row>
    <row r="391" spans="4:4" x14ac:dyDescent="0.25">
      <c r="D391" s="35"/>
    </row>
    <row r="393" spans="4:4" x14ac:dyDescent="0.25">
      <c r="D393" s="35"/>
    </row>
    <row r="395" spans="4:4" x14ac:dyDescent="0.25">
      <c r="D395" s="35"/>
    </row>
    <row r="397" spans="4:4" x14ac:dyDescent="0.25">
      <c r="D397" s="35"/>
    </row>
    <row r="399" spans="4:4" x14ac:dyDescent="0.25">
      <c r="D399" s="35"/>
    </row>
    <row r="401" spans="4:4" x14ac:dyDescent="0.25">
      <c r="D401" s="35"/>
    </row>
    <row r="403" spans="4:4" x14ac:dyDescent="0.25">
      <c r="D403" s="35"/>
    </row>
    <row r="405" spans="4:4" x14ac:dyDescent="0.25">
      <c r="D405" s="35"/>
    </row>
    <row r="407" spans="4:4" x14ac:dyDescent="0.25">
      <c r="D407" s="35"/>
    </row>
    <row r="409" spans="4:4" x14ac:dyDescent="0.25">
      <c r="D409" s="35"/>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77"/>
  <sheetViews>
    <sheetView workbookViewId="0">
      <pane ySplit="1" topLeftCell="A2" activePane="bottomLeft" state="frozen"/>
      <selection activeCell="U1" sqref="U1"/>
      <selection pane="bottomLeft" activeCell="A2" sqref="A2"/>
    </sheetView>
  </sheetViews>
  <sheetFormatPr defaultColWidth="5.28515625" defaultRowHeight="12.75" outlineLevelCol="1" x14ac:dyDescent="0.2"/>
  <cols>
    <col min="1" max="1" width="11.28515625" style="33" bestFit="1" customWidth="1"/>
    <col min="2" max="2" width="9.7109375" style="10" customWidth="1"/>
    <col min="3" max="3" width="17.85546875" style="10" customWidth="1"/>
    <col min="4" max="4" width="6.85546875" style="36" customWidth="1"/>
    <col min="5" max="5" width="4.28515625" style="42" customWidth="1"/>
    <col min="6" max="6" width="10.28515625" style="36" bestFit="1" customWidth="1"/>
    <col min="7" max="7" width="9.28515625" style="36" customWidth="1"/>
    <col min="8" max="8" width="14.85546875" style="36" bestFit="1" customWidth="1"/>
    <col min="9" max="9" width="30.5703125" style="36" customWidth="1"/>
    <col min="10" max="10" width="17.5703125" style="36" customWidth="1"/>
    <col min="11" max="11" width="9.5703125" style="36" customWidth="1"/>
    <col min="12" max="13" width="9.7109375" style="36" customWidth="1"/>
    <col min="14" max="14" width="13.85546875" style="36" customWidth="1"/>
    <col min="15" max="15" width="8.7109375" style="36" customWidth="1"/>
    <col min="16" max="16" width="22.7109375" style="36" bestFit="1" customWidth="1"/>
    <col min="17" max="17" width="18.28515625" style="36" bestFit="1" customWidth="1"/>
    <col min="18" max="18" width="8.7109375" style="36" bestFit="1" customWidth="1"/>
    <col min="19" max="19" width="11.42578125" style="36" bestFit="1" customWidth="1"/>
    <col min="20" max="20" width="12.7109375" style="36" customWidth="1"/>
    <col min="21" max="21" width="10.42578125" style="36" bestFit="1" customWidth="1"/>
    <col min="22" max="22" width="10.42578125" style="36" customWidth="1"/>
    <col min="23" max="23" width="11.85546875" style="36" customWidth="1"/>
    <col min="24" max="24" width="8.140625" style="36" customWidth="1"/>
    <col min="25" max="25" width="10" style="42" customWidth="1"/>
    <col min="26" max="26" width="15.42578125" style="36" customWidth="1"/>
    <col min="27" max="27" width="11" style="36" customWidth="1"/>
    <col min="28" max="28" width="16.42578125" style="36" customWidth="1"/>
    <col min="29" max="29" width="13.5703125" style="36" customWidth="1"/>
    <col min="30" max="30" width="13.140625" style="36" customWidth="1"/>
    <col min="31" max="31" width="11" style="36" customWidth="1"/>
    <col min="32" max="32" width="12.5703125" style="46" customWidth="1"/>
    <col min="33" max="33" width="10.140625" style="29" customWidth="1"/>
    <col min="34" max="34" width="10.7109375" style="8" customWidth="1"/>
    <col min="35" max="35" width="10.7109375" style="29" customWidth="1"/>
    <col min="36" max="36" width="10.7109375" style="54" customWidth="1"/>
    <col min="37" max="40" width="10.7109375" style="29" customWidth="1"/>
    <col min="41" max="43" width="10.7109375" style="29" customWidth="1" outlineLevel="1"/>
    <col min="44" max="44" width="16.85546875" style="54" customWidth="1" outlineLevel="1"/>
    <col min="45" max="46" width="16.85546875" style="29" customWidth="1" outlineLevel="1"/>
    <col min="47" max="47" width="5.28515625" style="8" outlineLevel="1"/>
    <col min="48" max="50" width="13.42578125" style="23" bestFit="1" customWidth="1" outlineLevel="1"/>
    <col min="51" max="51" width="14.85546875" style="23" bestFit="1" customWidth="1" outlineLevel="1"/>
    <col min="52" max="53" width="14.5703125" style="23" bestFit="1" customWidth="1"/>
    <col min="54" max="54" width="13.5703125" style="23" bestFit="1" customWidth="1"/>
    <col min="55" max="57" width="13.5703125" style="16" bestFit="1" customWidth="1"/>
    <col min="58" max="62" width="12.42578125" style="16" bestFit="1" customWidth="1"/>
    <col min="63" max="74" width="10.42578125" style="16" bestFit="1" customWidth="1"/>
    <col min="75" max="95" width="11.42578125" style="16" bestFit="1" customWidth="1"/>
    <col min="96" max="99" width="12.42578125" style="10" bestFit="1" customWidth="1"/>
    <col min="100" max="133" width="10.42578125" style="10" bestFit="1" customWidth="1"/>
    <col min="134" max="16384" width="5.28515625" style="10"/>
  </cols>
  <sheetData>
    <row r="1" spans="1:99" ht="12" customHeight="1" x14ac:dyDescent="0.2">
      <c r="A1" s="33" t="s">
        <v>81</v>
      </c>
      <c r="B1" s="11" t="s">
        <v>0</v>
      </c>
      <c r="C1" s="11" t="s">
        <v>1</v>
      </c>
      <c r="D1" s="31" t="s">
        <v>2</v>
      </c>
      <c r="E1" s="40" t="s">
        <v>131</v>
      </c>
      <c r="F1" s="31" t="s">
        <v>6</v>
      </c>
      <c r="G1" s="31" t="s">
        <v>110</v>
      </c>
      <c r="H1" s="31" t="s">
        <v>1</v>
      </c>
      <c r="I1" s="31" t="s">
        <v>8</v>
      </c>
      <c r="J1" s="31" t="s">
        <v>7</v>
      </c>
      <c r="K1" s="31" t="s">
        <v>127</v>
      </c>
      <c r="L1" s="31" t="s">
        <v>122</v>
      </c>
      <c r="M1" s="31" t="s">
        <v>125</v>
      </c>
      <c r="N1" s="31" t="s">
        <v>123</v>
      </c>
      <c r="O1" s="31" t="s">
        <v>5</v>
      </c>
      <c r="P1" s="31" t="s">
        <v>126</v>
      </c>
      <c r="Q1" s="31" t="s">
        <v>3</v>
      </c>
      <c r="R1" s="31" t="s">
        <v>124</v>
      </c>
      <c r="S1" s="31" t="s">
        <v>4</v>
      </c>
      <c r="T1" s="31" t="s">
        <v>68</v>
      </c>
      <c r="U1" s="31" t="s">
        <v>165</v>
      </c>
      <c r="V1" s="31" t="s">
        <v>120</v>
      </c>
      <c r="W1" s="31" t="s">
        <v>121</v>
      </c>
      <c r="X1" s="31" t="s">
        <v>128</v>
      </c>
      <c r="Y1" s="40" t="s">
        <v>117</v>
      </c>
      <c r="Z1" s="31" t="s">
        <v>129</v>
      </c>
      <c r="AA1" s="31" t="s">
        <v>87</v>
      </c>
      <c r="AB1" s="31" t="s">
        <v>85</v>
      </c>
      <c r="AC1" s="31" t="s">
        <v>86</v>
      </c>
      <c r="AD1" s="31" t="s">
        <v>130</v>
      </c>
      <c r="AE1" s="31" t="s">
        <v>118</v>
      </c>
      <c r="AF1" s="44" t="s">
        <v>119</v>
      </c>
      <c r="AG1" s="27" t="s">
        <v>114</v>
      </c>
      <c r="AH1" s="4"/>
      <c r="AI1" s="58" t="s">
        <v>76</v>
      </c>
      <c r="AJ1" s="52" t="s">
        <v>74</v>
      </c>
      <c r="AK1" s="27" t="s">
        <v>9</v>
      </c>
      <c r="AL1" s="58" t="s">
        <v>77</v>
      </c>
      <c r="AM1" s="27" t="s">
        <v>10</v>
      </c>
      <c r="AN1" s="27" t="s">
        <v>11</v>
      </c>
      <c r="AO1" s="58" t="s">
        <v>162</v>
      </c>
      <c r="AP1" s="27" t="s">
        <v>80</v>
      </c>
      <c r="AQ1" s="58" t="s">
        <v>163</v>
      </c>
      <c r="AR1" s="52" t="s">
        <v>78</v>
      </c>
      <c r="AS1" s="58" t="s">
        <v>164</v>
      </c>
      <c r="AT1" s="27" t="s">
        <v>79</v>
      </c>
      <c r="AU1" s="4"/>
      <c r="AV1" s="7" t="s">
        <v>75</v>
      </c>
      <c r="AW1" s="7"/>
      <c r="AX1" s="7"/>
      <c r="AY1" s="7"/>
      <c r="AZ1" s="7"/>
      <c r="BA1" s="7"/>
      <c r="BB1" s="7"/>
      <c r="BC1" s="6"/>
      <c r="BD1" s="6"/>
      <c r="BE1" s="6"/>
      <c r="BF1" s="6"/>
      <c r="BG1" s="6"/>
      <c r="BH1" s="6"/>
      <c r="BI1" s="6"/>
      <c r="BJ1" s="6"/>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11"/>
      <c r="CS1" s="11"/>
      <c r="CT1" s="11"/>
      <c r="CU1" s="11"/>
    </row>
    <row r="2" spans="1:99" s="9" customFormat="1" ht="12" customHeight="1" x14ac:dyDescent="0.2">
      <c r="A2" s="94">
        <v>43509</v>
      </c>
      <c r="B2" s="95"/>
      <c r="C2" s="95"/>
      <c r="D2" s="96"/>
      <c r="E2" s="97"/>
      <c r="F2" s="96"/>
      <c r="G2" s="96"/>
      <c r="H2" s="96"/>
      <c r="I2" s="96"/>
      <c r="J2" s="96"/>
      <c r="K2" s="102"/>
      <c r="L2" s="102"/>
      <c r="M2" s="96"/>
      <c r="N2" s="96"/>
      <c r="O2" s="96"/>
      <c r="P2" s="96"/>
      <c r="Q2" s="96"/>
      <c r="R2" s="77"/>
      <c r="S2" s="96"/>
      <c r="T2" s="96"/>
      <c r="U2" s="32"/>
      <c r="V2" s="96"/>
      <c r="W2" s="77"/>
      <c r="X2" s="96"/>
      <c r="Y2" s="98"/>
      <c r="Z2" s="96"/>
      <c r="AA2" s="96"/>
      <c r="AB2" s="77"/>
      <c r="AC2" s="77"/>
      <c r="AD2" s="77"/>
      <c r="AE2" s="77"/>
      <c r="AF2" s="99"/>
      <c r="AG2" s="100"/>
      <c r="AH2" s="84"/>
      <c r="AI2" s="49"/>
      <c r="AJ2" s="56"/>
      <c r="AK2" s="49"/>
      <c r="AL2" s="49"/>
      <c r="AM2" s="49"/>
      <c r="AN2" s="49"/>
      <c r="AO2" s="49"/>
      <c r="AP2" s="49"/>
      <c r="AQ2" s="100"/>
      <c r="AR2" s="105"/>
      <c r="AS2" s="100"/>
      <c r="AT2" s="100"/>
      <c r="AU2" s="62"/>
      <c r="AV2" s="108">
        <v>0.5</v>
      </c>
      <c r="AW2" s="107">
        <v>4</v>
      </c>
      <c r="AX2" s="107">
        <v>12</v>
      </c>
      <c r="AY2" s="107">
        <v>24</v>
      </c>
      <c r="AZ2" s="108"/>
      <c r="BA2" s="108"/>
      <c r="BB2" s="108"/>
      <c r="BC2" s="108"/>
      <c r="BD2" s="108"/>
      <c r="BE2" s="108"/>
      <c r="BF2" s="108"/>
      <c r="BG2" s="108"/>
      <c r="BH2" s="108"/>
      <c r="BI2" s="108"/>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1"/>
      <c r="CS2" s="1"/>
      <c r="CT2" s="1"/>
      <c r="CU2" s="1"/>
    </row>
    <row r="3" spans="1:99" s="9" customFormat="1" ht="12" customHeight="1" x14ac:dyDescent="0.2">
      <c r="A3" s="94">
        <v>43509</v>
      </c>
      <c r="B3" s="95" t="s">
        <v>198</v>
      </c>
      <c r="C3" s="95" t="s">
        <v>199</v>
      </c>
      <c r="D3" s="96">
        <v>2005</v>
      </c>
      <c r="E3" s="97">
        <v>1</v>
      </c>
      <c r="F3" s="96">
        <v>5</v>
      </c>
      <c r="G3" s="96">
        <v>5</v>
      </c>
      <c r="H3" s="96" t="s">
        <v>24</v>
      </c>
      <c r="I3" s="96" t="s">
        <v>89</v>
      </c>
      <c r="J3" s="96" t="s">
        <v>82</v>
      </c>
      <c r="K3" s="77" t="str">
        <f>IF(J3="syllables","1",IF(J3="trigrams","2",IF(J3="strings","3",IF(J3="visual array","4",IF(J3="characters","5",IF(J3="letters","6",IF(J3="free forms","7",IF(J3="odors","8",IF(J3="words","9",IF(J3="pictures","10",IF(J3="object pictures","11",IF(J3="faces","12",IF(J3="names","13",IF(J3="idioms","14",IF(J3="grades","15",IF(J3="syllable-digit pairs","16",IF(J3="trigram-word pairs","17",IF(J3="word-digit pairs","18",IF(J3="English-Swahili pairs","19",IF(J3="spatial position","20",IF(J3="word pairs","21",IF(J3="word triads","22",IF(J3="generated words","23",IF(J3="word definition pairs","24",IF(J3="math problems","25",IF(J3="famous faces","26",IF(J3="famous names","27",IF(J3="famous voices","28",IF(J3="television programs","29",IF(J3="race horses","30",IF(J3="new vocabulary","31",IF(J3="sentences","32",IF(J3="concepts","33",IF(J3="ad slides","34",IF(J3="scenes","35",IF(J3="famous scenes","36",IF(J3="poems","37",IF(J3="walk","38",IF(J3="faces and events","39",IF(J3="events and names","40",IF(J3="flashbulb","41",IF(J3="stories","42",IF(J3="course material","43",IF(J3="autobiographical","44",IF(J3="novels","45",IF(J3="public events","46",IF(J3="order","90","99")))))))))))))))))))))))))))))))))))))))))))))))</f>
        <v>10</v>
      </c>
      <c r="L3" s="77" t="str">
        <f>IF(J3="syllables","1",IF(J3="trigrams","1",IF(J3="strings","1",IF(J3="visual array","1",IF(J3="characters","1",IF(J3="letters","1",IF(J3="free forms","1",IF(J3="odors","2",IF(J3="words","2",IF(J3="pictures","2",IF(J3="object pictures","2",IF(J3="faces","2",IF(J3="names","2",IF(J3="idioms","2",IF(J3="grades","2",IF(J3="syllable-digit pairs","3",IF(J3="trigram-word pairs","3",IF(J3="word-digit pairs","3",IF(J3="English-Swahili pairs","3",IF(J3="spatial position","3",IF(J3="word pairs","4",IF(J3="word triads","4",IF(J3="generated words","4",IF(J3="word definition pairs","4",IF(J3="math problems","4",IF(J3="famous faces","4",IF(J3="famous names","4",IF(J3="famous voices","4",IF(J3="television programs","4",IF(J3="race horses","4",IF(J3="new vocabulary","4",IF(J3="sentences","5",IF(J3="concepts","5",IF(J3="ad slides","5",IF(J3="scenes","5",IF(J3="famous scenes","5",IF(J3="poems","6",IF(J3="walk","6",IF(J3="faces and events","6",IF(J3="events and names","6",IF(J3="flashbulb","7",IF(J3="stories","7",IF(J3="course material","7",IF(J3="autobiographical","7",IF(J3="novels","7",IF(J3="public events","7",IF(J3="order","90","99")))))))))))))))))))))))))))))))))))))))))))))))</f>
        <v>2</v>
      </c>
      <c r="M3" s="96" t="s">
        <v>195</v>
      </c>
      <c r="N3" s="96">
        <v>1</v>
      </c>
      <c r="O3" s="96" t="s">
        <v>195</v>
      </c>
      <c r="P3" s="96"/>
      <c r="Q3" s="96" t="s">
        <v>18</v>
      </c>
      <c r="R3" s="77" t="str">
        <f>IF(Q3="Free Recall","1",IF(Q3="Cued Recall","2",IF(Q3="Recognition","3",IF(Q3="Multiple Choice","4",IF(Q3="Savings","5",IF(Q3="Stem Completion","6",IF(Q3="Fragment Completion","7",IF(Q3="anagram solution","8",IF(Q3="Matching","9",IF(Q3="Problem Solving","10","99"))))))))))</f>
        <v>3</v>
      </c>
      <c r="S3" s="77" t="s">
        <v>196</v>
      </c>
      <c r="T3" s="96" t="s">
        <v>132</v>
      </c>
      <c r="U3" s="32">
        <f>IF(T3="within",1,0)</f>
        <v>1</v>
      </c>
      <c r="V3" s="96">
        <v>128</v>
      </c>
      <c r="W3" s="77">
        <f>F3*V3</f>
        <v>640</v>
      </c>
      <c r="X3" s="96">
        <v>4</v>
      </c>
      <c r="Y3" s="98">
        <f>AV2</f>
        <v>0.5</v>
      </c>
      <c r="Z3" s="96" t="s">
        <v>200</v>
      </c>
      <c r="AA3" s="96">
        <v>24</v>
      </c>
      <c r="AB3" s="77" t="str">
        <f>IF(AA3&lt;60,"1",IF(AA3&lt;=43200,"2",IF(AA3&lt;=777600,"3","4")))</f>
        <v>1</v>
      </c>
      <c r="AC3" s="100">
        <f>AVERAGE(AV2:DA2)</f>
        <v>10.125</v>
      </c>
      <c r="AD3" s="77" t="str">
        <f>IF(AC3&lt;60,"1",IF(AC3&lt;=43200,"2",IF(AC3&lt;=777600,"3","4")))</f>
        <v>1</v>
      </c>
      <c r="AE3" s="98">
        <f>AA3-Y3</f>
        <v>23.5</v>
      </c>
      <c r="AF3" s="99">
        <f>AV3</f>
        <v>1.5</v>
      </c>
      <c r="AG3" s="100">
        <f>((AW3-AV3)+(AX3-AW3)+(AY3-AX3))/3</f>
        <v>-7.333333333333332E-2</v>
      </c>
      <c r="AH3" s="84"/>
      <c r="AI3" s="100">
        <f>RSQ(AV3:AY3,AV2:AY2)</f>
        <v>0.65021461825456972</v>
      </c>
      <c r="AJ3" s="105">
        <f>SLOPE(AV3:AY3,AV2:AY2)</f>
        <v>-7.6911285686913199E-3</v>
      </c>
      <c r="AK3" s="100">
        <f>INTERCEPT(AV3:AY3,AV2:AY2)</f>
        <v>1.4353726767579997</v>
      </c>
      <c r="AL3" s="100">
        <f>INDEX(LINEST(LN(AV3:AY3),LN(AV2:AY2),TRUE,TRUE),3,1)</f>
        <v>0.98084976355023101</v>
      </c>
      <c r="AM3" s="100">
        <f>INDEX(LINEST(LN(AV3:AY3),LN(AV2:AY2)),1)</f>
        <v>-4.1840702811851621E-2</v>
      </c>
      <c r="AN3" s="100">
        <f>EXP(INDEX(LINEST(LN(AV3:AY3),LN(AV2:AY2)),1,2))</f>
        <v>1.4480017661175297</v>
      </c>
      <c r="AO3" s="104">
        <f>INDEX(LINEST((AV3:AY3),LN(AV2:AY2),TRUE,TRUE),3,1)</f>
        <v>0.97576429961953848</v>
      </c>
      <c r="AP3" s="104">
        <f>INDEX(LINEST((AV3:AY3),LN(AV2:AY2)),1)</f>
        <v>-5.8103120793874093E-2</v>
      </c>
      <c r="AQ3" s="48">
        <f>INDEX(LINEST(LN(AV3:AY3),SQRT(AV2:AY2),TRUE,TRUE),3,1)</f>
        <v>0.84348377618164061</v>
      </c>
      <c r="AR3" s="56">
        <f>INDEX(LINEST(LN(AV3:AY3),SQRT((AV2:AY2))),1)</f>
        <v>-3.6183100196857068E-2</v>
      </c>
      <c r="AS3" s="49">
        <f>INDEX(LINEST(1/(AV3:AY3),1/(SQRT(AV2:AY2)),TRUE,TRUE),3,1)</f>
        <v>0.98775167810129105</v>
      </c>
      <c r="AT3" s="49">
        <f>INDEX(LINEST(1/(AV3:AY3),1/SQRT(AV2:AY2)),1)</f>
        <v>-9.1962074627501778E-2</v>
      </c>
      <c r="AU3" s="63"/>
      <c r="AV3" s="108">
        <v>1.5</v>
      </c>
      <c r="AW3" s="108">
        <v>1.35</v>
      </c>
      <c r="AX3" s="108">
        <v>1.3</v>
      </c>
      <c r="AY3" s="108">
        <v>1.28</v>
      </c>
      <c r="AZ3" s="108"/>
      <c r="BA3" s="108"/>
      <c r="BB3" s="108"/>
      <c r="BC3" s="108"/>
      <c r="BD3" s="108"/>
      <c r="BE3" s="108"/>
      <c r="BF3" s="108"/>
      <c r="BG3" s="108"/>
      <c r="BH3" s="108"/>
      <c r="BI3" s="108"/>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1"/>
      <c r="CS3" s="1"/>
      <c r="CT3" s="1"/>
      <c r="CU3" s="1"/>
    </row>
    <row r="4" spans="1:99" s="9" customFormat="1" ht="12" customHeight="1" x14ac:dyDescent="0.2">
      <c r="A4" s="37">
        <v>43509</v>
      </c>
      <c r="B4" s="1"/>
      <c r="C4" s="1"/>
      <c r="D4" s="32"/>
      <c r="E4" s="41"/>
      <c r="F4" s="32"/>
      <c r="G4" s="32"/>
      <c r="H4" s="32"/>
      <c r="I4" s="32"/>
      <c r="J4" s="32"/>
      <c r="K4" s="36"/>
      <c r="L4" s="36"/>
      <c r="M4" s="32"/>
      <c r="N4" s="32"/>
      <c r="O4" s="32"/>
      <c r="P4" s="32"/>
      <c r="Q4" s="32"/>
      <c r="R4" s="32"/>
      <c r="S4" s="32"/>
      <c r="T4" s="32"/>
      <c r="U4" s="32"/>
      <c r="V4" s="32"/>
      <c r="W4" s="32"/>
      <c r="X4" s="32"/>
      <c r="Y4" s="41"/>
      <c r="Z4" s="32"/>
      <c r="AA4" s="32"/>
      <c r="AB4" s="32"/>
      <c r="AC4" s="32"/>
      <c r="AD4" s="32"/>
      <c r="AE4" s="32"/>
      <c r="AF4" s="45"/>
      <c r="AG4" s="28"/>
      <c r="AH4" s="4"/>
      <c r="AI4" s="28"/>
      <c r="AJ4" s="51"/>
      <c r="AK4" s="28"/>
      <c r="AL4" s="28"/>
      <c r="AM4" s="28"/>
      <c r="AN4" s="28"/>
      <c r="AO4" s="28"/>
      <c r="AP4" s="28"/>
      <c r="AQ4" s="28"/>
      <c r="AR4" s="51"/>
      <c r="AS4" s="28"/>
      <c r="AT4" s="28"/>
      <c r="AU4" s="4"/>
      <c r="AV4" s="26">
        <v>1.5</v>
      </c>
      <c r="AW4" s="18">
        <v>3</v>
      </c>
      <c r="AX4" s="18">
        <v>6</v>
      </c>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1"/>
      <c r="CS4" s="1"/>
      <c r="CT4" s="1"/>
      <c r="CU4" s="1"/>
    </row>
    <row r="5" spans="1:99" s="9" customFormat="1" ht="12" customHeight="1" x14ac:dyDescent="0.2">
      <c r="A5" s="37">
        <v>43509</v>
      </c>
      <c r="B5" s="1" t="s">
        <v>70</v>
      </c>
      <c r="C5" s="1" t="s">
        <v>17</v>
      </c>
      <c r="D5" s="32">
        <v>2010</v>
      </c>
      <c r="E5" s="41">
        <v>1</v>
      </c>
      <c r="F5" s="32">
        <v>30</v>
      </c>
      <c r="G5" s="32">
        <v>30</v>
      </c>
      <c r="H5" s="32" t="s">
        <v>14</v>
      </c>
      <c r="I5" s="32" t="s">
        <v>144</v>
      </c>
      <c r="J5" s="32" t="s">
        <v>147</v>
      </c>
      <c r="K5" s="32">
        <f>IF(J5="syllables",1,IF(J5="trigrams",2,IF(J5="strings",3,IF(J5="visual array",4,IF(J5="characters",5,IF(J5="letters",6,IF(J5="free forms",7,IF(J5="odors",8,IF(J5="words",9,IF(J5="pictures",10,IF(J5="object pictures",11,IF(J5="faces",12,IF(J5="names",13,IF(J5="idioms",14,IF(J5="grades",15,IF(J5="syllable-digit pairs",16,IF(J5="trigram-word pairs",17,IF(J5="word-digit pairs",18,IF(J5="English-Swahili pairs",19,IF(J5="spatial position",20,IF(J5="word pairs",21,IF(J5="word triads",22,IF(J5="generated words",23,IF(J5="word definition pairs",24,IF(J5="math problems",25,IF(J5="famous faces",26,IF(J5="famous names",27,IF(J5="famous voices",28,IF(J5="television programs",29,IF(J5="race horses",30,IF(J5="new vocabulary",31,IF(J5="sentences",32,IF(J5="concepts",33,IF(J5="ad slides",34,IF(J5="scenes",35,IF(J5="famous scenes",36,IF(J5="poems",37,IF(J5="walk",38,IF(J5="faces and events",39,IF(J5="events and names",40,IF(J5="flashbulb",41,IF(J5="stories",42,IF(J5="course material",43,IF(J5="autobiographical",44,IF(J5="novels",45,IF(J5="public events",46,"99"))))))))))))))))))))))))))))))))))))))))))))))</f>
        <v>4</v>
      </c>
      <c r="L5" s="32">
        <f>IF(J5="syllables",1,IF(J5="trigrams",1,IF(J5="strings",1,IF(J5="visual array",1,IF(J5="characters",1,IF(J5="letters",1,IF(J5="free forms",1,IF(J5="odors",2,IF(J5="words",2,IF(J5="pictures",2,IF(J5="object pictures",2,IF(J5="faces",2,IF(J5="names",2,IF(J5="idioms","2",IF(J5="grades",2,IF(J5="syllable-digit pairs",3,IF(J5="trigram-word pairs",3,IF(J5="word-digit pairs",3,IF(J5="English-Swahili pairs",3,IF(J5="spatial position",3,IF(J5="word pairs",4,IF(J5="word triads",4,IF(J5="generated words",4,IF(J5="word definition pairs",4,IF(J5="math problems",4,IF(J5="famous faces",4,IF(J5="famous names",4,IF(J5="famous voices",4,IF(J5="television programs",4,IF(J5="race horses",4,IF(J5="new vocabulary",4,IF(J5="sentences",5,IF(J5="concepts",5,IF(J5="ad slides",5,IF(J5="scenes",5,IF(J5="famous scenes",5,IF(J5="poems",6,IF(J5="walk",6,IF(J5="faces and events",6,IF(J5="events and names",6,IF(J5="flashbulb",7,IF(J5="stories",7,IF(J5="course material",7,IF(J5="autobiographical",7,IF(J5="novels",7,IF(J5="public events",7,"99"))))))))))))))))))))))))))))))))))))))))))))))</f>
        <v>1</v>
      </c>
      <c r="M5" s="32">
        <v>0</v>
      </c>
      <c r="N5" s="32">
        <v>1</v>
      </c>
      <c r="O5" s="32">
        <v>1</v>
      </c>
      <c r="P5" s="32" t="s">
        <v>19</v>
      </c>
      <c r="Q5" s="32" t="s">
        <v>18</v>
      </c>
      <c r="R5" s="32">
        <f>IF(Q5="Free Recall",1,IF(Q5="Cued Recall",2,IF(Q5="Recognition",3,IF(Q5="Multiple Choice",4,IF(Q5="Savings",5,IF(Q5="Stem Completion",6,IF(Q5="Fragment Completion",7,IF(Q5="anagram solution",8,IF(Q5="Matching",9,IF(Q5="Problem Solving",10,"99"))))))))))</f>
        <v>3</v>
      </c>
      <c r="S5" s="31" t="s">
        <v>196</v>
      </c>
      <c r="T5" s="31" t="s">
        <v>132</v>
      </c>
      <c r="U5" s="32">
        <f>IF(T5="within",1,0)</f>
        <v>1</v>
      </c>
      <c r="V5" s="31">
        <v>30</v>
      </c>
      <c r="W5" s="32">
        <f>F5*V5</f>
        <v>900</v>
      </c>
      <c r="X5" s="32">
        <v>3</v>
      </c>
      <c r="Y5" s="41">
        <f>AV4</f>
        <v>1.5</v>
      </c>
      <c r="Z5" s="32" t="s">
        <v>20</v>
      </c>
      <c r="AA5" s="32">
        <v>5.9</v>
      </c>
      <c r="AB5" s="32" t="str">
        <f>IF(AA5&lt;60,"1",IF(AA5&lt;=43200,"2",IF(AA5&lt;=777600,"3","4")))</f>
        <v>1</v>
      </c>
      <c r="AC5" s="28">
        <f>AVERAGE(AV4:DA4)</f>
        <v>3.5</v>
      </c>
      <c r="AD5" s="32" t="str">
        <f>IF(AC5&lt;60,"1",IF(AC5&lt;=43200,"2",IF(AC5&lt;=777600,"3","4")))</f>
        <v>1</v>
      </c>
      <c r="AE5" s="41">
        <f>AA5-Y5</f>
        <v>4.4000000000000004</v>
      </c>
      <c r="AF5" s="45">
        <f>AV5</f>
        <v>2.1418932078794231</v>
      </c>
      <c r="AG5" s="28">
        <f>((AW5-AV5)+(AX5-AW5))/2</f>
        <v>-0.1526439134208768</v>
      </c>
      <c r="AH5" s="4"/>
      <c r="AI5" s="28">
        <f>RSQ(AV5:AX5,AV4:AX4)</f>
        <v>0.99325213611125152</v>
      </c>
      <c r="AJ5" s="51">
        <f>SLOPE(AV5:AX5,AV4:AX4)</f>
        <v>-6.6782403697885961E-2</v>
      </c>
      <c r="AK5" s="28">
        <f>INTERCEPT(AV5:AX5,AV4:AX4)</f>
        <v>2.2325327930237187</v>
      </c>
      <c r="AL5" s="28">
        <f>INDEX(LINEST(LN(AV5:AX5),LN(AV4:AX4),TRUE,TRUE),3,1)</f>
        <v>0.98350693260723931</v>
      </c>
      <c r="AM5" s="28">
        <f>INDEX(LINEST(LN(AV5:AX5),LN(AV4:AX4)),1)</f>
        <v>-0.11092243663828597</v>
      </c>
      <c r="AN5" s="28">
        <f>EXP(INDEX(LINEST(LN(AV5:AX5),LN(AV4:AX4)),1,2))</f>
        <v>2.2533402760318717</v>
      </c>
      <c r="AO5" s="47">
        <f>INDEX(LINEST((AV5:AX5),LN(AV4:AX4),TRUE,TRUE),3,1)</f>
        <v>0.98840536656453504</v>
      </c>
      <c r="AP5" s="47">
        <f>INDEX(LINEST((AV5:AX5),LN(AV4:AX4)),1)</f>
        <v>-0.22021861691418326</v>
      </c>
      <c r="AQ5" s="48">
        <f>INDEX(LINEST(LN(AV5:AX5),SQRT(AV4:AX4),TRUE,TRUE),3,1)</f>
        <v>0.99909754172789123</v>
      </c>
      <c r="AR5" s="56">
        <f>INDEX(LINEST(LN(AV5:AX5),SQRT((AV4:AX4))),1)</f>
        <v>-0.125928522369957</v>
      </c>
      <c r="AS5" s="49">
        <f>INDEX(LINEST(1/(AV5:AX5),1/(SQRT(AV4:AX4)),TRUE,TRUE),3,1)</f>
        <v>0.9397176996327623</v>
      </c>
      <c r="AT5" s="49">
        <f>INDEX(LINEST(1/(AV5:AX5),1/SQRT(AV4:AX4)),1)</f>
        <v>-0.18544274718436415</v>
      </c>
      <c r="AU5" s="3"/>
      <c r="AV5" s="25">
        <v>2.1418932078794231</v>
      </c>
      <c r="AW5" s="25">
        <v>2.0178845513262602</v>
      </c>
      <c r="AX5" s="25">
        <v>1.8366053810376695</v>
      </c>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1"/>
      <c r="CS5" s="1"/>
      <c r="CT5" s="1"/>
      <c r="CU5" s="1"/>
    </row>
    <row r="6" spans="1:99" s="9" customFormat="1" ht="12" customHeight="1" x14ac:dyDescent="0.2">
      <c r="A6" s="37">
        <v>43509</v>
      </c>
      <c r="B6" s="1"/>
      <c r="C6" s="1"/>
      <c r="D6" s="32"/>
      <c r="E6" s="41"/>
      <c r="F6" s="32"/>
      <c r="G6" s="32"/>
      <c r="H6" s="32"/>
      <c r="I6" s="32"/>
      <c r="J6" s="32"/>
      <c r="K6" s="36"/>
      <c r="L6" s="36"/>
      <c r="M6" s="32"/>
      <c r="N6" s="32"/>
      <c r="O6" s="32"/>
      <c r="P6" s="32"/>
      <c r="Q6" s="32"/>
      <c r="R6" s="32"/>
      <c r="S6" s="32"/>
      <c r="T6" s="32"/>
      <c r="U6" s="32"/>
      <c r="V6" s="32"/>
      <c r="W6" s="32"/>
      <c r="X6" s="32"/>
      <c r="Y6" s="41"/>
      <c r="Z6" s="32"/>
      <c r="AA6" s="32"/>
      <c r="AB6" s="32"/>
      <c r="AC6" s="32"/>
      <c r="AD6" s="32"/>
      <c r="AE6" s="32"/>
      <c r="AF6" s="45"/>
      <c r="AG6" s="28"/>
      <c r="AH6" s="4"/>
      <c r="AI6" s="28"/>
      <c r="AJ6" s="51"/>
      <c r="AK6" s="28"/>
      <c r="AL6" s="28"/>
      <c r="AM6" s="28"/>
      <c r="AN6" s="28"/>
      <c r="AO6" s="47"/>
      <c r="AP6" s="47"/>
      <c r="AQ6" s="47"/>
      <c r="AR6" s="55"/>
      <c r="AS6" s="47"/>
      <c r="AT6" s="47"/>
      <c r="AU6" s="3"/>
      <c r="AV6" s="26">
        <v>1.5</v>
      </c>
      <c r="AW6" s="18">
        <v>3</v>
      </c>
      <c r="AX6" s="18">
        <v>6</v>
      </c>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1"/>
      <c r="CS6" s="1"/>
      <c r="CT6" s="1"/>
      <c r="CU6" s="1"/>
    </row>
    <row r="7" spans="1:99" s="9" customFormat="1" ht="12" customHeight="1" x14ac:dyDescent="0.2">
      <c r="A7" s="37">
        <v>43509</v>
      </c>
      <c r="B7" s="1" t="s">
        <v>70</v>
      </c>
      <c r="C7" s="1" t="s">
        <v>17</v>
      </c>
      <c r="D7" s="32">
        <v>2010</v>
      </c>
      <c r="E7" s="41">
        <v>1</v>
      </c>
      <c r="F7" s="32">
        <v>30</v>
      </c>
      <c r="G7" s="32">
        <v>30</v>
      </c>
      <c r="H7" s="32" t="s">
        <v>14</v>
      </c>
      <c r="I7" s="32" t="s">
        <v>145</v>
      </c>
      <c r="J7" s="32" t="s">
        <v>147</v>
      </c>
      <c r="K7" s="32">
        <f>IF(J7="syllables",1,IF(J7="trigrams",2,IF(J7="strings",3,IF(J7="visual array",4,IF(J7="characters",5,IF(J7="letters",6,IF(J7="free forms",7,IF(J7="odors",8,IF(J7="words",9,IF(J7="pictures",10,IF(J7="object pictures",11,IF(J7="faces",12,IF(J7="names",13,IF(J7="idioms",14,IF(J7="grades",15,IF(J7="syllable-digit pairs",16,IF(J7="trigram-word pairs",17,IF(J7="word-digit pairs",18,IF(J7="English-Swahili pairs",19,IF(J7="spatial position",20,IF(J7="word pairs",21,IF(J7="word triads",22,IF(J7="generated words",23,IF(J7="word definition pairs",24,IF(J7="math problems",25,IF(J7="famous faces",26,IF(J7="famous names",27,IF(J7="famous voices",28,IF(J7="television programs",29,IF(J7="race horses",30,IF(J7="new vocabulary",31,IF(J7="sentences",32,IF(J7="concepts",33,IF(J7="ad slides",34,IF(J7="scenes",35,IF(J7="famous scenes",36,IF(J7="poems",37,IF(J7="walk",38,IF(J7="faces and events",39,IF(J7="events and names",40,IF(J7="flashbulb",41,IF(J7="stories",42,IF(J7="course material",43,IF(J7="autobiographical",44,IF(J7="novels",45,IF(J7="public events",46,"99"))))))))))))))))))))))))))))))))))))))))))))))</f>
        <v>4</v>
      </c>
      <c r="L7" s="32">
        <f>IF(J7="syllables",1,IF(J7="trigrams",1,IF(J7="strings",1,IF(J7="visual array",1,IF(J7="characters",1,IF(J7="letters",1,IF(J7="free forms",1,IF(J7="odors",2,IF(J7="words",2,IF(J7="pictures",2,IF(J7="object pictures",2,IF(J7="faces",2,IF(J7="names",2,IF(J7="idioms","2",IF(J7="grades",2,IF(J7="syllable-digit pairs",3,IF(J7="trigram-word pairs",3,IF(J7="word-digit pairs",3,IF(J7="English-Swahili pairs",3,IF(J7="spatial position",3,IF(J7="word pairs",4,IF(J7="word triads",4,IF(J7="generated words",4,IF(J7="word definition pairs",4,IF(J7="math problems",4,IF(J7="famous faces",4,IF(J7="famous names",4,IF(J7="famous voices",4,IF(J7="television programs",4,IF(J7="race horses",4,IF(J7="new vocabulary",4,IF(J7="sentences",5,IF(J7="concepts",5,IF(J7="ad slides",5,IF(J7="scenes",5,IF(J7="famous scenes",5,IF(J7="poems",6,IF(J7="walk",6,IF(J7="faces and events",6,IF(J7="events and names",6,IF(J7="flashbulb",7,IF(J7="stories",7,IF(J7="course material",7,IF(J7="autobiographical",7,IF(J7="novels",7,IF(J7="public events",7,"99"))))))))))))))))))))))))))))))))))))))))))))))</f>
        <v>1</v>
      </c>
      <c r="M7" s="32">
        <v>0</v>
      </c>
      <c r="N7" s="32">
        <v>1</v>
      </c>
      <c r="O7" s="32">
        <v>1</v>
      </c>
      <c r="P7" s="32" t="s">
        <v>19</v>
      </c>
      <c r="Q7" s="32" t="s">
        <v>18</v>
      </c>
      <c r="R7" s="32">
        <f>IF(Q7="Free Recall",1,IF(Q7="Cued Recall",2,IF(Q7="Recognition",3,IF(Q7="Multiple Choice",4,IF(Q7="Savings",5,IF(Q7="Stem Completion",6,IF(Q7="Fragment Completion",7,IF(Q7="anagram solution",8,IF(Q7="Matching",9,IF(Q7="Problem Solving",10,"99"))))))))))</f>
        <v>3</v>
      </c>
      <c r="S7" s="31" t="s">
        <v>196</v>
      </c>
      <c r="T7" s="31" t="s">
        <v>132</v>
      </c>
      <c r="U7" s="32">
        <f>IF(T7="within",1,0)</f>
        <v>1</v>
      </c>
      <c r="V7" s="31">
        <v>30</v>
      </c>
      <c r="W7" s="32">
        <f>F7*V7</f>
        <v>900</v>
      </c>
      <c r="X7" s="32">
        <v>3</v>
      </c>
      <c r="Y7" s="41">
        <f>AV6</f>
        <v>1.5</v>
      </c>
      <c r="Z7" s="32" t="s">
        <v>20</v>
      </c>
      <c r="AA7" s="32">
        <v>5.9</v>
      </c>
      <c r="AB7" s="32" t="str">
        <f>IF(AA7&lt;60,"1",IF(AA7&lt;=43200,"2",IF(AA7&lt;=777600,"3","4")))</f>
        <v>1</v>
      </c>
      <c r="AC7" s="28">
        <f>AVERAGE(AV6:DA6)</f>
        <v>3.5</v>
      </c>
      <c r="AD7" s="32" t="str">
        <f>IF(AC7&lt;60,"1",IF(AC7&lt;=43200,"2",IF(AC7&lt;=777600,"3","4")))</f>
        <v>1</v>
      </c>
      <c r="AE7" s="41">
        <f>AA7-Y7</f>
        <v>4.4000000000000004</v>
      </c>
      <c r="AF7" s="45">
        <f>AV7</f>
        <v>1.9878541283846878</v>
      </c>
      <c r="AG7" s="28">
        <f>((AW7-AV7)+(AX7-AW7))/2</f>
        <v>-0.43797604663352496</v>
      </c>
      <c r="AH7" s="4"/>
      <c r="AI7" s="28">
        <f>RSQ(AV7:AX7,AV6:AX6)</f>
        <v>0.98615045353761965</v>
      </c>
      <c r="AJ7" s="51">
        <f>SLOPE(AV7:AX7,AV6:AX6)</f>
        <v>-0.19031553292731232</v>
      </c>
      <c r="AK7" s="28">
        <f>INTERCEPT(AV7:AX7,AV6:AX6)</f>
        <v>2.2342630375873673</v>
      </c>
      <c r="AL7" s="28">
        <f>INDEX(LINEST(LN(AV7:AX7),LN(AV6:AX6),TRUE,TRUE),3,1)</f>
        <v>0.97747139078539813</v>
      </c>
      <c r="AM7" s="28">
        <f>INDEX(LINEST(LN(AV7:AX7),LN(AV6:AX6)),1)</f>
        <v>-0.41909110484810935</v>
      </c>
      <c r="AN7" s="28">
        <f>EXP(INDEX(LINEST(LN(AV7:AX7),LN(AV6:AX6)),1,2))</f>
        <v>2.4167999025766114</v>
      </c>
      <c r="AO7" s="47">
        <f>INDEX(LINEST((AV7:AX7),LN(AV6:AX6),TRUE,TRUE),3,1)</f>
        <v>0.994800793055996</v>
      </c>
      <c r="AP7" s="47">
        <f>INDEX(LINEST((AV7:AX7),LN(AV6:AX6)),1)</f>
        <v>-0.63186587050633969</v>
      </c>
      <c r="AQ7" s="48">
        <f>INDEX(LINEST(LN(AV7:AX7),SQRT(AV6:AX6),TRUE,TRUE),3,1)</f>
        <v>0.99730578578153761</v>
      </c>
      <c r="AR7" s="56">
        <f>INDEX(LINEST(LN(AV7:AX7),SQRT((AV6:AX6))),1)</f>
        <v>-0.47682614319335764</v>
      </c>
      <c r="AS7" s="49">
        <f>INDEX(LINEST(1/(AV7:AX7),1/(SQRT(AV6:AX6)),TRUE,TRUE),3,1)</f>
        <v>0.89965061864396301</v>
      </c>
      <c r="AT7" s="49">
        <f>INDEX(LINEST(1/(AV7:AX7),1/SQRT(AV6:AX6)),1)</f>
        <v>-0.93965756575068204</v>
      </c>
      <c r="AU7" s="3"/>
      <c r="AV7" s="25">
        <v>1.9878541283846878</v>
      </c>
      <c r="AW7" s="25">
        <v>1.6047198535229974</v>
      </c>
      <c r="AX7" s="25">
        <v>1.1119020351176379</v>
      </c>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1"/>
      <c r="CS7" s="1"/>
      <c r="CT7" s="1"/>
      <c r="CU7" s="1"/>
    </row>
    <row r="8" spans="1:99" s="9" customFormat="1" ht="12" customHeight="1" x14ac:dyDescent="0.2">
      <c r="A8" s="37">
        <v>43509</v>
      </c>
      <c r="B8" s="1"/>
      <c r="C8" s="1"/>
      <c r="D8" s="32"/>
      <c r="E8" s="41"/>
      <c r="F8" s="32"/>
      <c r="G8" s="32"/>
      <c r="H8" s="32"/>
      <c r="I8" s="32"/>
      <c r="J8" s="32"/>
      <c r="K8" s="36"/>
      <c r="L8" s="36"/>
      <c r="M8" s="32"/>
      <c r="N8" s="32"/>
      <c r="O8" s="32"/>
      <c r="P8" s="32"/>
      <c r="Q8" s="32"/>
      <c r="R8" s="32"/>
      <c r="S8" s="32"/>
      <c r="T8" s="32"/>
      <c r="U8" s="32"/>
      <c r="V8" s="32"/>
      <c r="W8" s="32"/>
      <c r="X8" s="32"/>
      <c r="Y8" s="41"/>
      <c r="Z8" s="32"/>
      <c r="AA8" s="32"/>
      <c r="AB8" s="32"/>
      <c r="AC8" s="32"/>
      <c r="AD8" s="32"/>
      <c r="AE8" s="32"/>
      <c r="AF8" s="45"/>
      <c r="AG8" s="28"/>
      <c r="AH8" s="4"/>
      <c r="AI8" s="28"/>
      <c r="AJ8" s="51"/>
      <c r="AK8" s="28"/>
      <c r="AL8" s="28"/>
      <c r="AM8" s="28"/>
      <c r="AN8" s="28"/>
      <c r="AO8" s="47"/>
      <c r="AP8" s="47"/>
      <c r="AQ8" s="47"/>
      <c r="AR8" s="55"/>
      <c r="AS8" s="47"/>
      <c r="AT8" s="47"/>
      <c r="AU8" s="3"/>
      <c r="AV8" s="26">
        <v>1.5</v>
      </c>
      <c r="AW8" s="18">
        <v>3</v>
      </c>
      <c r="AX8" s="18">
        <v>6</v>
      </c>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1"/>
      <c r="CS8" s="1"/>
      <c r="CT8" s="1"/>
      <c r="CU8" s="1"/>
    </row>
    <row r="9" spans="1:99" s="15" customFormat="1" ht="12" customHeight="1" x14ac:dyDescent="0.2">
      <c r="A9" s="37">
        <v>43509</v>
      </c>
      <c r="B9" s="1" t="s">
        <v>70</v>
      </c>
      <c r="C9" s="1" t="s">
        <v>17</v>
      </c>
      <c r="D9" s="32">
        <v>2010</v>
      </c>
      <c r="E9" s="41">
        <v>1</v>
      </c>
      <c r="F9" s="32">
        <v>30</v>
      </c>
      <c r="G9" s="32">
        <v>30</v>
      </c>
      <c r="H9" s="32" t="s">
        <v>14</v>
      </c>
      <c r="I9" s="32" t="s">
        <v>146</v>
      </c>
      <c r="J9" s="32" t="s">
        <v>147</v>
      </c>
      <c r="K9" s="32">
        <f>IF(J9="syllables",1,IF(J9="trigrams",2,IF(J9="strings",3,IF(J9="visual array",4,IF(J9="characters",5,IF(J9="letters",6,IF(J9="free forms",7,IF(J9="odors",8,IF(J9="words",9,IF(J9="pictures",10,IF(J9="object pictures",11,IF(J9="faces",12,IF(J9="names",13,IF(J9="idioms",14,IF(J9="grades",15,IF(J9="syllable-digit pairs",16,IF(J9="trigram-word pairs",17,IF(J9="word-digit pairs",18,IF(J9="English-Swahili pairs",19,IF(J9="spatial position",20,IF(J9="word pairs",21,IF(J9="word triads",22,IF(J9="generated words",23,IF(J9="word definition pairs",24,IF(J9="math problems",25,IF(J9="famous faces",26,IF(J9="famous names",27,IF(J9="famous voices",28,IF(J9="television programs",29,IF(J9="race horses",30,IF(J9="new vocabulary",31,IF(J9="sentences",32,IF(J9="concepts",33,IF(J9="ad slides",34,IF(J9="scenes",35,IF(J9="famous scenes",36,IF(J9="poems",37,IF(J9="walk",38,IF(J9="faces and events",39,IF(J9="events and names",40,IF(J9="flashbulb",41,IF(J9="stories",42,IF(J9="course material",43,IF(J9="autobiographical",44,IF(J9="novels",45,IF(J9="public events",46,"99"))))))))))))))))))))))))))))))))))))))))))))))</f>
        <v>4</v>
      </c>
      <c r="L9" s="32">
        <f>IF(J9="syllables",1,IF(J9="trigrams",1,IF(J9="strings",1,IF(J9="visual array",1,IF(J9="characters",1,IF(J9="letters",1,IF(J9="free forms",1,IF(J9="odors",2,IF(J9="words",2,IF(J9="pictures",2,IF(J9="object pictures",2,IF(J9="faces",2,IF(J9="names",2,IF(J9="idioms","2",IF(J9="grades",2,IF(J9="syllable-digit pairs",3,IF(J9="trigram-word pairs",3,IF(J9="word-digit pairs",3,IF(J9="English-Swahili pairs",3,IF(J9="spatial position",3,IF(J9="word pairs",4,IF(J9="word triads",4,IF(J9="generated words",4,IF(J9="word definition pairs",4,IF(J9="math problems",4,IF(J9="famous faces",4,IF(J9="famous names",4,IF(J9="famous voices",4,IF(J9="television programs",4,IF(J9="race horses",4,IF(J9="new vocabulary",4,IF(J9="sentences",5,IF(J9="concepts",5,IF(J9="ad slides",5,IF(J9="scenes",5,IF(J9="famous scenes",5,IF(J9="poems",6,IF(J9="walk",6,IF(J9="faces and events",6,IF(J9="events and names",6,IF(J9="flashbulb",7,IF(J9="stories",7,IF(J9="course material",7,IF(J9="autobiographical",7,IF(J9="novels",7,IF(J9="public events",7,"99"))))))))))))))))))))))))))))))))))))))))))))))</f>
        <v>1</v>
      </c>
      <c r="M9" s="32">
        <v>0</v>
      </c>
      <c r="N9" s="32">
        <v>1</v>
      </c>
      <c r="O9" s="32">
        <v>1</v>
      </c>
      <c r="P9" s="32" t="s">
        <v>19</v>
      </c>
      <c r="Q9" s="32" t="s">
        <v>18</v>
      </c>
      <c r="R9" s="32">
        <f>IF(Q9="Free Recall",1,IF(Q9="Cued Recall",2,IF(Q9="Recognition",3,IF(Q9="Multiple Choice",4,IF(Q9="Savings",5,IF(Q9="Stem Completion",6,IF(Q9="Fragment Completion",7,IF(Q9="anagram solution",8,IF(Q9="Matching",9,IF(Q9="Problem Solving",10,"99"))))))))))</f>
        <v>3</v>
      </c>
      <c r="S9" s="31" t="s">
        <v>196</v>
      </c>
      <c r="T9" s="31" t="s">
        <v>132</v>
      </c>
      <c r="U9" s="32">
        <f>IF(T9="within",1,0)</f>
        <v>1</v>
      </c>
      <c r="V9" s="31">
        <v>30</v>
      </c>
      <c r="W9" s="32">
        <f>F9*V9</f>
        <v>900</v>
      </c>
      <c r="X9" s="32">
        <v>3</v>
      </c>
      <c r="Y9" s="41">
        <f>AV8</f>
        <v>1.5</v>
      </c>
      <c r="Z9" s="32" t="s">
        <v>20</v>
      </c>
      <c r="AA9" s="32">
        <v>5.9</v>
      </c>
      <c r="AB9" s="32" t="str">
        <f>IF(AA9&lt;60,"1",IF(AA9&lt;=43200,"2",IF(AA9&lt;=777600,"3","4")))</f>
        <v>1</v>
      </c>
      <c r="AC9" s="28">
        <f>AVERAGE(AV8:DA8)</f>
        <v>3.5</v>
      </c>
      <c r="AD9" s="32" t="str">
        <f>IF(AC9&lt;60,"1",IF(AC9&lt;=43200,"2",IF(AC9&lt;=777600,"3","4")))</f>
        <v>1</v>
      </c>
      <c r="AE9" s="41">
        <f>AA9-Y9</f>
        <v>4.4000000000000004</v>
      </c>
      <c r="AF9" s="45">
        <f>AV9</f>
        <v>1.5975106585391123</v>
      </c>
      <c r="AG9" s="28">
        <f>((AW9-AV9)+(AX9-AW9))/2</f>
        <v>-0.26887115419253593</v>
      </c>
      <c r="AH9" s="4"/>
      <c r="AI9" s="28">
        <f>RSQ(AV9:AX9,AV8:AX8)</f>
        <v>0.9945653239352118</v>
      </c>
      <c r="AJ9" s="51">
        <f>SLOPE(AV9:AX9,AV8:AX8)</f>
        <v>-0.11782213192112227</v>
      </c>
      <c r="AK9" s="28">
        <f>INTERCEPT(AV9:AX9,AV8:AX8)</f>
        <v>1.7591584269407525</v>
      </c>
      <c r="AL9" s="28">
        <f>INDEX(LINEST(LN(AV9:AX9),LN(AV8:AX8),TRUE,TRUE),3,1)</f>
        <v>0.97133756240334646</v>
      </c>
      <c r="AM9" s="28">
        <f>INDEX(LINEST(LN(AV9:AX9),LN(AV8:AX8)),1)</f>
        <v>-0.29603830479199178</v>
      </c>
      <c r="AN9" s="28">
        <f>EXP(INDEX(LINEST(LN(AV9:AX9),LN(AV8:AX8)),1,2))</f>
        <v>1.8382806588340852</v>
      </c>
      <c r="AO9" s="47">
        <f>INDEX(LINEST((AV9:AX9),LN(AV8:AX8),TRUE,TRUE),3,1)</f>
        <v>0.9865263263549916</v>
      </c>
      <c r="AP9" s="47">
        <f>INDEX(LINEST((AV9:AX9),LN(AV8:AX8)),1)</f>
        <v>-0.38789908079166341</v>
      </c>
      <c r="AQ9" s="48">
        <f>INDEX(LINEST(LN(AV9:AX9),SQRT(AV8:AX8),TRUE,TRUE),3,1)</f>
        <v>0.99491302031829476</v>
      </c>
      <c r="AR9" s="56">
        <f>INDEX(LINEST(LN(AV9:AX9),SQRT((AV8:AX8))),1)</f>
        <v>-0.33747751917640911</v>
      </c>
      <c r="AS9" s="49">
        <f>INDEX(LINEST(1/(AV9:AX9),1/(SQRT(AV8:AX8)),TRUE,TRUE),3,1)</f>
        <v>0.90129885841503399</v>
      </c>
      <c r="AT9" s="49">
        <f>INDEX(LINEST(1/(AV9:AX9),1/SQRT(AV8:AX8)),1)</f>
        <v>-0.75333322448847018</v>
      </c>
      <c r="AU9" s="3"/>
      <c r="AV9" s="25">
        <v>1.5975106585391123</v>
      </c>
      <c r="AW9" s="25">
        <v>1.3830638869573209</v>
      </c>
      <c r="AX9" s="25">
        <v>1.0597683501540405</v>
      </c>
      <c r="AY9" s="25"/>
      <c r="AZ9" s="25"/>
      <c r="BA9" s="25"/>
      <c r="BB9" s="25"/>
      <c r="BC9" s="25"/>
      <c r="BD9" s="25"/>
      <c r="BE9" s="25"/>
      <c r="BF9" s="25"/>
      <c r="BG9" s="25"/>
      <c r="BH9" s="25"/>
      <c r="BI9" s="25"/>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3"/>
      <c r="CS9" s="13"/>
      <c r="CT9" s="13"/>
      <c r="CU9" s="13"/>
    </row>
    <row r="10" spans="1:99" s="15" customFormat="1" ht="12" customHeight="1" x14ac:dyDescent="0.2">
      <c r="A10" s="37">
        <v>43509</v>
      </c>
      <c r="B10" s="1"/>
      <c r="C10" s="1"/>
      <c r="D10" s="32"/>
      <c r="E10" s="41"/>
      <c r="F10" s="32"/>
      <c r="G10" s="32"/>
      <c r="H10" s="32"/>
      <c r="I10" s="32"/>
      <c r="J10" s="32"/>
      <c r="K10" s="36"/>
      <c r="L10" s="36"/>
      <c r="M10" s="32"/>
      <c r="N10" s="32"/>
      <c r="O10" s="32"/>
      <c r="P10" s="32"/>
      <c r="Q10" s="32"/>
      <c r="R10" s="32"/>
      <c r="S10" s="32"/>
      <c r="T10" s="32"/>
      <c r="U10" s="32"/>
      <c r="V10" s="32"/>
      <c r="W10" s="32"/>
      <c r="X10" s="32"/>
      <c r="Y10" s="41"/>
      <c r="Z10" s="32"/>
      <c r="AA10" s="32"/>
      <c r="AB10" s="32"/>
      <c r="AC10" s="32"/>
      <c r="AD10" s="32"/>
      <c r="AE10" s="32"/>
      <c r="AF10" s="45"/>
      <c r="AG10" s="28"/>
      <c r="AH10" s="4"/>
      <c r="AI10" s="28"/>
      <c r="AJ10" s="51"/>
      <c r="AK10" s="28"/>
      <c r="AL10" s="28"/>
      <c r="AM10" s="28"/>
      <c r="AN10" s="28"/>
      <c r="AO10" s="28"/>
      <c r="AP10" s="28"/>
      <c r="AQ10" s="28"/>
      <c r="AR10" s="51"/>
      <c r="AS10" s="28"/>
      <c r="AT10" s="28"/>
      <c r="AU10" s="4"/>
      <c r="AV10" s="26">
        <v>1.5</v>
      </c>
      <c r="AW10" s="18">
        <v>3</v>
      </c>
      <c r="AX10" s="18">
        <v>6</v>
      </c>
      <c r="AY10" s="25"/>
      <c r="AZ10" s="25"/>
      <c r="BA10" s="25"/>
      <c r="BB10" s="25"/>
      <c r="BC10" s="25"/>
      <c r="BD10" s="25"/>
      <c r="BE10" s="25"/>
      <c r="BF10" s="25"/>
      <c r="BG10" s="25"/>
      <c r="BH10" s="25"/>
      <c r="BI10" s="25"/>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3"/>
      <c r="CS10" s="13"/>
      <c r="CT10" s="13"/>
      <c r="CU10" s="13"/>
    </row>
    <row r="11" spans="1:99" s="15" customFormat="1" ht="12" customHeight="1" x14ac:dyDescent="0.2">
      <c r="A11" s="37">
        <v>43509</v>
      </c>
      <c r="B11" s="1" t="s">
        <v>70</v>
      </c>
      <c r="C11" s="1" t="s">
        <v>17</v>
      </c>
      <c r="D11" s="32">
        <v>2010</v>
      </c>
      <c r="E11" s="41">
        <v>2</v>
      </c>
      <c r="F11" s="32">
        <v>32</v>
      </c>
      <c r="G11" s="32">
        <v>32</v>
      </c>
      <c r="H11" s="32" t="s">
        <v>22</v>
      </c>
      <c r="I11" s="32" t="s">
        <v>144</v>
      </c>
      <c r="J11" s="32" t="s">
        <v>148</v>
      </c>
      <c r="K11" s="32">
        <f>IF(J11="syllables",1,IF(J11="trigrams",2,IF(J11="strings",3,IF(J11="visual array",4,IF(J11="characters",5,IF(J11="letters",6,IF(J11="free forms",7,IF(J11="odors",8,IF(J11="words",9,IF(J11="pictures",10,IF(J11="object pictures",11,IF(J11="faces",12,IF(J11="names",13,IF(J11="idioms",14,IF(J11="grades",15,IF(J11="syllable-digit pairs",16,IF(J11="trigram-word pairs",17,IF(J11="word-digit pairs",18,IF(J11="English-Swahili pairs",19,IF(J11="spatial position",20,IF(J11="word pairs",21,IF(J11="word triads",22,IF(J11="generated words",23,IF(J11="word definition pairs",24,IF(J11="math problems",25,IF(J11="famous faces",26,IF(J11="famous names",27,IF(J11="famous voices",28,IF(J11="television programs",29,IF(J11="race horses",30,IF(J11="new vocabulary",31,IF(J11="sentences",32,IF(J11="concepts",33,IF(J11="ad slides",34,IF(J11="scenes",35,IF(J11="famous scenes",36,IF(J11="poems",37,IF(J11="walk",38,IF(J11="faces and events",39,IF(J11="events and names",40,IF(J11="flashbulb",41,IF(J11="stories",42,IF(J11="course material",43,IF(J11="autobiographical",44,IF(J11="novels",45,IF(J11="public events",46,"99"))))))))))))))))))))))))))))))))))))))))))))))</f>
        <v>5</v>
      </c>
      <c r="L11" s="32">
        <f>IF(J11="syllables",1,IF(J11="trigrams",1,IF(J11="strings",1,IF(J11="visual array",1,IF(J11="characters",1,IF(J11="letters",1,IF(J11="free forms",1,IF(J11="odors",2,IF(J11="words",2,IF(J11="pictures",2,IF(J11="object pictures",2,IF(J11="faces",2,IF(J11="names",2,IF(J11="idioms","2",IF(J11="grades",2,IF(J11="syllable-digit pairs",3,IF(J11="trigram-word pairs",3,IF(J11="word-digit pairs",3,IF(J11="English-Swahili pairs",3,IF(J11="spatial position",3,IF(J11="word pairs",4,IF(J11="word triads",4,IF(J11="generated words",4,IF(J11="word definition pairs",4,IF(J11="math problems",4,IF(J11="famous faces",4,IF(J11="famous names",4,IF(J11="famous voices",4,IF(J11="television programs",4,IF(J11="race horses",4,IF(J11="new vocabulary",4,IF(J11="sentences",5,IF(J11="concepts",5,IF(J11="ad slides",5,IF(J11="scenes",5,IF(J11="famous scenes",5,IF(J11="poems",6,IF(J11="walk",6,IF(J11="faces and events",6,IF(J11="events and names",6,IF(J11="flashbulb",7,IF(J11="stories",7,IF(J11="course material",7,IF(J11="autobiographical",7,IF(J11="novels",7,IF(J11="public events",7,"99"))))))))))))))))))))))))))))))))))))))))))))))</f>
        <v>1</v>
      </c>
      <c r="M11" s="32">
        <v>0</v>
      </c>
      <c r="N11" s="32">
        <v>1</v>
      </c>
      <c r="O11" s="32">
        <v>1</v>
      </c>
      <c r="P11" s="32" t="s">
        <v>21</v>
      </c>
      <c r="Q11" s="32" t="s">
        <v>18</v>
      </c>
      <c r="R11" s="32">
        <f>IF(Q11="Free Recall",1,IF(Q11="Cued Recall",2,IF(Q11="Recognition",3,IF(Q11="Multiple Choice",4,IF(Q11="Savings",5,IF(Q11="Stem Completion",6,IF(Q11="Fragment Completion",7,IF(Q11="anagram solution",8,IF(Q11="Matching",9,IF(Q11="Problem Solving",10,"99"))))))))))</f>
        <v>3</v>
      </c>
      <c r="S11" s="31" t="s">
        <v>196</v>
      </c>
      <c r="T11" s="31" t="s">
        <v>132</v>
      </c>
      <c r="U11" s="32">
        <f>IF(T11="within",1,0)</f>
        <v>1</v>
      </c>
      <c r="V11" s="31">
        <v>24</v>
      </c>
      <c r="W11" s="32">
        <f>F11*V11</f>
        <v>768</v>
      </c>
      <c r="X11" s="32">
        <v>3</v>
      </c>
      <c r="Y11" s="41">
        <f>AV10</f>
        <v>1.5</v>
      </c>
      <c r="Z11" s="32" t="s">
        <v>23</v>
      </c>
      <c r="AA11" s="32">
        <v>6</v>
      </c>
      <c r="AB11" s="32" t="str">
        <f>IF(AA11&lt;60,"1",IF(AA11&lt;=43200,"2",IF(AA11&lt;=777600,"3","4")))</f>
        <v>1</v>
      </c>
      <c r="AC11" s="28">
        <f>AVERAGE(AV10:DA10)</f>
        <v>3.5</v>
      </c>
      <c r="AD11" s="32" t="str">
        <f>IF(AC11&lt;60,"1",IF(AC11&lt;=43200,"2",IF(AC11&lt;=777600,"3","4")))</f>
        <v>1</v>
      </c>
      <c r="AE11" s="41">
        <f>AA11-Y11</f>
        <v>4.5</v>
      </c>
      <c r="AF11" s="45">
        <f>AV11</f>
        <v>2.0344845939611522</v>
      </c>
      <c r="AG11" s="28">
        <f>((AW11-AV11)+(AX11-AW11))/2</f>
        <v>-0.1977466722415685</v>
      </c>
      <c r="AH11" s="4"/>
      <c r="AI11" s="28">
        <f>RSQ(AV11:AX11,AV10:AX10)</f>
        <v>0.9999787581842956</v>
      </c>
      <c r="AJ11" s="51">
        <f>SLOPE(AV11:AX11,AV10:AX10)</f>
        <v>-8.7809523747010731E-2</v>
      </c>
      <c r="AK11" s="28">
        <f>INTERCEPT(AV11:AX11,AV10:AX10)</f>
        <v>2.1654979043384905</v>
      </c>
      <c r="AL11" s="28">
        <f>INDEX(LINEST(LN(AV11:AX11),LN(AV10:AX10),TRUE,TRUE),3,1)</f>
        <v>0.95586051113611836</v>
      </c>
      <c r="AM11" s="28">
        <f>INDEX(LINEST(LN(AV11:AX11),LN(AV10:AX10)),1)</f>
        <v>-0.15592760187876892</v>
      </c>
      <c r="AN11" s="28">
        <f>EXP(INDEX(LINEST(LN(AV11:AX11),LN(AV10:AX10)),1,2))</f>
        <v>2.196521471728528</v>
      </c>
      <c r="AO11" s="47">
        <f>INDEX(LINEST((AV11:AX11),LN(AV10:AX10),TRUE,TRUE),3,1)</f>
        <v>0.96597657628898237</v>
      </c>
      <c r="AP11" s="47">
        <f>INDEX(LINEST((AV11:AX11),LN(AV10:AX10)),1)</f>
        <v>-0.28528814339520614</v>
      </c>
      <c r="AQ11" s="48">
        <f>INDEX(LINEST(LN(AV11:AX11),SQRT(AV10:AX10),TRUE,TRUE),3,1)</f>
        <v>0.98729969172829346</v>
      </c>
      <c r="AR11" s="56">
        <f>INDEX(LINEST(LN(AV11:AX11),SQRT((AV10:AX10))),1)</f>
        <v>-0.17850061388165192</v>
      </c>
      <c r="AS11" s="49">
        <f>INDEX(LINEST(1/(AV11:AX11),1/(SQRT(AV10:AX10)),TRUE,TRUE),3,1)</f>
        <v>0.89154403263525195</v>
      </c>
      <c r="AT11" s="49">
        <f>INDEX(LINEST(1/(AV11:AX11),1/SQRT(AV10:AX10)),1)</f>
        <v>-0.28082284629668081</v>
      </c>
      <c r="AU11" s="3"/>
      <c r="AV11" s="25">
        <v>2.0344845939611522</v>
      </c>
      <c r="AW11" s="25">
        <v>1.9010178702326925</v>
      </c>
      <c r="AX11" s="25">
        <v>1.6389912494780152</v>
      </c>
      <c r="AY11" s="25"/>
      <c r="AZ11" s="25"/>
      <c r="BA11" s="25"/>
      <c r="BB11" s="25"/>
      <c r="BC11" s="25"/>
      <c r="BD11" s="25"/>
      <c r="BE11" s="25"/>
      <c r="BF11" s="25"/>
      <c r="BG11" s="25"/>
      <c r="BH11" s="25"/>
      <c r="BI11" s="25"/>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3"/>
      <c r="CS11" s="13"/>
      <c r="CT11" s="13"/>
      <c r="CU11" s="13"/>
    </row>
    <row r="12" spans="1:99" s="15" customFormat="1" ht="12" customHeight="1" x14ac:dyDescent="0.2">
      <c r="A12" s="37">
        <v>43509</v>
      </c>
      <c r="B12" s="1"/>
      <c r="C12" s="1"/>
      <c r="D12" s="32"/>
      <c r="E12" s="41"/>
      <c r="F12" s="32"/>
      <c r="G12" s="32"/>
      <c r="H12" s="32"/>
      <c r="I12" s="32"/>
      <c r="J12" s="32"/>
      <c r="K12" s="36"/>
      <c r="L12" s="36"/>
      <c r="M12" s="32"/>
      <c r="N12" s="32"/>
      <c r="O12" s="32"/>
      <c r="P12" s="32"/>
      <c r="Q12" s="32"/>
      <c r="R12" s="32"/>
      <c r="S12" s="32"/>
      <c r="T12" s="32"/>
      <c r="U12" s="32"/>
      <c r="V12" s="32"/>
      <c r="W12" s="32"/>
      <c r="X12" s="32"/>
      <c r="Y12" s="41"/>
      <c r="Z12" s="32"/>
      <c r="AA12" s="32"/>
      <c r="AB12" s="32"/>
      <c r="AC12" s="32"/>
      <c r="AD12" s="32"/>
      <c r="AE12" s="32"/>
      <c r="AF12" s="45"/>
      <c r="AG12" s="28"/>
      <c r="AH12" s="4"/>
      <c r="AI12" s="28"/>
      <c r="AJ12" s="51"/>
      <c r="AK12" s="28"/>
      <c r="AL12" s="28"/>
      <c r="AM12" s="28"/>
      <c r="AN12" s="28"/>
      <c r="AO12" s="47"/>
      <c r="AP12" s="47"/>
      <c r="AQ12" s="47"/>
      <c r="AR12" s="55"/>
      <c r="AS12" s="47"/>
      <c r="AT12" s="47"/>
      <c r="AU12" s="3"/>
      <c r="AV12" s="26">
        <v>1.5</v>
      </c>
      <c r="AW12" s="18">
        <v>3</v>
      </c>
      <c r="AX12" s="18">
        <v>6</v>
      </c>
      <c r="AY12" s="25"/>
      <c r="AZ12" s="25"/>
      <c r="BA12" s="25"/>
      <c r="BB12" s="25"/>
      <c r="BC12" s="25"/>
      <c r="BD12" s="25"/>
      <c r="BE12" s="25"/>
      <c r="BF12" s="25"/>
      <c r="BG12" s="25"/>
      <c r="BH12" s="25"/>
      <c r="BI12" s="25"/>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3"/>
      <c r="CS12" s="13"/>
      <c r="CT12" s="13"/>
      <c r="CU12" s="13"/>
    </row>
    <row r="13" spans="1:99" s="15" customFormat="1" ht="12" customHeight="1" x14ac:dyDescent="0.2">
      <c r="A13" s="37">
        <v>43509</v>
      </c>
      <c r="B13" s="1" t="s">
        <v>70</v>
      </c>
      <c r="C13" s="1" t="s">
        <v>17</v>
      </c>
      <c r="D13" s="32">
        <v>2010</v>
      </c>
      <c r="E13" s="41">
        <v>2</v>
      </c>
      <c r="F13" s="32">
        <v>32</v>
      </c>
      <c r="G13" s="32">
        <v>32</v>
      </c>
      <c r="H13" s="32" t="s">
        <v>22</v>
      </c>
      <c r="I13" s="32" t="s">
        <v>149</v>
      </c>
      <c r="J13" s="32" t="s">
        <v>148</v>
      </c>
      <c r="K13" s="32">
        <f>IF(J13="syllables",1,IF(J13="trigrams",2,IF(J13="strings",3,IF(J13="visual array",4,IF(J13="characters",5,IF(J13="letters",6,IF(J13="free forms",7,IF(J13="odors",8,IF(J13="words",9,IF(J13="pictures",10,IF(J13="object pictures",11,IF(J13="faces",12,IF(J13="names",13,IF(J13="idioms",14,IF(J13="grades",15,IF(J13="syllable-digit pairs",16,IF(J13="trigram-word pairs",17,IF(J13="word-digit pairs",18,IF(J13="English-Swahili pairs",19,IF(J13="spatial position",20,IF(J13="word pairs",21,IF(J13="word triads",22,IF(J13="generated words",23,IF(J13="word definition pairs",24,IF(J13="math problems",25,IF(J13="famous faces",26,IF(J13="famous names",27,IF(J13="famous voices",28,IF(J13="television programs",29,IF(J13="race horses",30,IF(J13="new vocabulary",31,IF(J13="sentences",32,IF(J13="concepts",33,IF(J13="ad slides",34,IF(J13="scenes",35,IF(J13="famous scenes",36,IF(J13="poems",37,IF(J13="walk",38,IF(J13="faces and events",39,IF(J13="events and names",40,IF(J13="flashbulb",41,IF(J13="stories",42,IF(J13="course material",43,IF(J13="autobiographical",44,IF(J13="novels",45,IF(J13="public events",46,"99"))))))))))))))))))))))))))))))))))))))))))))))</f>
        <v>5</v>
      </c>
      <c r="L13" s="32">
        <f>IF(J13="syllables",1,IF(J13="trigrams",1,IF(J13="strings",1,IF(J13="visual array",1,IF(J13="characters",1,IF(J13="letters",1,IF(J13="free forms",1,IF(J13="odors",2,IF(J13="words",2,IF(J13="pictures",2,IF(J13="object pictures",2,IF(J13="faces",2,IF(J13="names",2,IF(J13="idioms","2",IF(J13="grades",2,IF(J13="syllable-digit pairs",3,IF(J13="trigram-word pairs",3,IF(J13="word-digit pairs",3,IF(J13="English-Swahili pairs",3,IF(J13="spatial position",3,IF(J13="word pairs",4,IF(J13="word triads",4,IF(J13="generated words",4,IF(J13="word definition pairs",4,IF(J13="math problems",4,IF(J13="famous faces",4,IF(J13="famous names",4,IF(J13="famous voices",4,IF(J13="television programs",4,IF(J13="race horses",4,IF(J13="new vocabulary",4,IF(J13="sentences",5,IF(J13="concepts",5,IF(J13="ad slides",5,IF(J13="scenes",5,IF(J13="famous scenes",5,IF(J13="poems",6,IF(J13="walk",6,IF(J13="faces and events",6,IF(J13="events and names",6,IF(J13="flashbulb",7,IF(J13="stories",7,IF(J13="course material",7,IF(J13="autobiographical",7,IF(J13="novels",7,IF(J13="public events",7,"99"))))))))))))))))))))))))))))))))))))))))))))))</f>
        <v>1</v>
      </c>
      <c r="M13" s="32">
        <v>0</v>
      </c>
      <c r="N13" s="32">
        <v>1</v>
      </c>
      <c r="O13" s="32">
        <v>1</v>
      </c>
      <c r="P13" s="32" t="s">
        <v>21</v>
      </c>
      <c r="Q13" s="32" t="s">
        <v>18</v>
      </c>
      <c r="R13" s="32">
        <f>IF(Q13="Free Recall",1,IF(Q13="Cued Recall",2,IF(Q13="Recognition",3,IF(Q13="Multiple Choice",4,IF(Q13="Savings",5,IF(Q13="Stem Completion",6,IF(Q13="Fragment Completion",7,IF(Q13="anagram solution",8,IF(Q13="Matching",9,IF(Q13="Problem Solving",10,"99"))))))))))</f>
        <v>3</v>
      </c>
      <c r="S13" s="31" t="s">
        <v>196</v>
      </c>
      <c r="T13" s="31" t="s">
        <v>132</v>
      </c>
      <c r="U13" s="32">
        <f>IF(T13="within",1,0)</f>
        <v>1</v>
      </c>
      <c r="V13" s="31">
        <v>24</v>
      </c>
      <c r="W13" s="32">
        <f>F13*V13</f>
        <v>768</v>
      </c>
      <c r="X13" s="32">
        <v>3</v>
      </c>
      <c r="Y13" s="41">
        <f>AV12</f>
        <v>1.5</v>
      </c>
      <c r="Z13" s="32" t="s">
        <v>23</v>
      </c>
      <c r="AA13" s="32">
        <v>6</v>
      </c>
      <c r="AB13" s="32" t="str">
        <f>IF(AA13&lt;60,"1",IF(AA13&lt;=43200,"2",IF(AA13&lt;=777600,"3","4")))</f>
        <v>1</v>
      </c>
      <c r="AC13" s="28">
        <f>AVERAGE(AV12:DA12)</f>
        <v>3.5</v>
      </c>
      <c r="AD13" s="32" t="str">
        <f>IF(AC13&lt;60,"1",IF(AC13&lt;=43200,"2",IF(AC13&lt;=777600,"3","4")))</f>
        <v>1</v>
      </c>
      <c r="AE13" s="41">
        <f>AA13-Y13</f>
        <v>4.5</v>
      </c>
      <c r="AF13" s="45">
        <f>AV13</f>
        <v>1.6542119370280264</v>
      </c>
      <c r="AG13" s="28">
        <f>((AW13-AV13)+(AX13-AW13))/2</f>
        <v>-0.24466594837929601</v>
      </c>
      <c r="AH13" s="4"/>
      <c r="AI13" s="28">
        <f>RSQ(AV13:AX13,AV12:AX12)</f>
        <v>0.71985978416406005</v>
      </c>
      <c r="AJ13" s="51">
        <f>SLOPE(AV13:AX13,AV12:AX12)</f>
        <v>-9.7084855212209914E-2</v>
      </c>
      <c r="AK13" s="28">
        <f>INTERCEPT(AV13:AX13,AV12:AX12)</f>
        <v>1.6949391232390463</v>
      </c>
      <c r="AL13" s="28">
        <f>INDEX(LINEST(LN(AV13:AX13),LN(AV12:AX12),TRUE,TRUE),3,1)</f>
        <v>0.88818344543911931</v>
      </c>
      <c r="AM13" s="28">
        <f>INDEX(LINEST(LN(AV13:AX13),LN(AV12:AX12)),1)</f>
        <v>-0.25298134529679334</v>
      </c>
      <c r="AN13" s="28">
        <f>EXP(INDEX(LINEST(LN(AV13:AX13),LN(AV12:AX12)),1,2))</f>
        <v>1.7682286533584635</v>
      </c>
      <c r="AO13" s="47">
        <f>INDEX(LINEST((AV13:AX13),LN(AV12:AX12),TRUE,TRUE),3,1)</f>
        <v>0.87082862105457037</v>
      </c>
      <c r="AP13" s="47">
        <f>INDEX(LINEST((AV13:AX13),LN(AV12:AX12)),1)</f>
        <v>-0.35297835040120551</v>
      </c>
      <c r="AQ13" s="48">
        <f>INDEX(LINEST(LN(AV13:AX13),SQRT(AV12:AX12),TRUE,TRUE),3,1)</f>
        <v>0.81881193532398899</v>
      </c>
      <c r="AR13" s="56">
        <f>INDEX(LINEST(LN(AV13:AX13),SQRT((AV12:AX12))),1)</f>
        <v>-0.27360165285722626</v>
      </c>
      <c r="AS13" s="49">
        <f>INDEX(LINEST(1/(AV13:AX13),1/(SQRT(AV12:AX12)),TRUE,TRUE),3,1)</f>
        <v>0.95531575057098972</v>
      </c>
      <c r="AT13" s="49">
        <f>INDEX(LINEST(1/(AV13:AX13),1/SQRT(AV12:AX12)),1)</f>
        <v>-0.63564120743626462</v>
      </c>
      <c r="AU13" s="3"/>
      <c r="AV13" s="25">
        <v>1.6542119370280264</v>
      </c>
      <c r="AW13" s="25">
        <v>1.2463344126914746</v>
      </c>
      <c r="AX13" s="25">
        <v>1.1648800402694344</v>
      </c>
      <c r="AY13" s="25"/>
      <c r="AZ13" s="25"/>
      <c r="BA13" s="25"/>
      <c r="BB13" s="25"/>
      <c r="BC13" s="25"/>
      <c r="BD13" s="25"/>
      <c r="BE13" s="25"/>
      <c r="BF13" s="25"/>
      <c r="BG13" s="25"/>
      <c r="BH13" s="25"/>
      <c r="BI13" s="25"/>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3"/>
      <c r="CS13" s="13"/>
      <c r="CT13" s="13"/>
      <c r="CU13" s="13"/>
    </row>
    <row r="14" spans="1:99" s="15" customFormat="1" ht="12" customHeight="1" x14ac:dyDescent="0.2">
      <c r="A14" s="37">
        <v>43509</v>
      </c>
      <c r="B14" s="1"/>
      <c r="C14" s="1"/>
      <c r="D14" s="32"/>
      <c r="E14" s="41"/>
      <c r="F14" s="32"/>
      <c r="G14" s="32"/>
      <c r="H14" s="32"/>
      <c r="I14" s="32"/>
      <c r="J14" s="32"/>
      <c r="K14" s="36"/>
      <c r="L14" s="36"/>
      <c r="M14" s="32"/>
      <c r="N14" s="32"/>
      <c r="O14" s="32"/>
      <c r="P14" s="32"/>
      <c r="Q14" s="32"/>
      <c r="R14" s="32"/>
      <c r="S14" s="32"/>
      <c r="T14" s="32"/>
      <c r="U14" s="32"/>
      <c r="V14" s="32"/>
      <c r="W14" s="32"/>
      <c r="X14" s="32"/>
      <c r="Y14" s="41"/>
      <c r="Z14" s="32"/>
      <c r="AA14" s="32"/>
      <c r="AB14" s="32"/>
      <c r="AC14" s="32"/>
      <c r="AD14" s="32"/>
      <c r="AE14" s="32"/>
      <c r="AF14" s="45"/>
      <c r="AG14" s="28"/>
      <c r="AH14" s="4"/>
      <c r="AI14" s="28"/>
      <c r="AJ14" s="51"/>
      <c r="AK14" s="28"/>
      <c r="AL14" s="28"/>
      <c r="AM14" s="28"/>
      <c r="AN14" s="28"/>
      <c r="AO14" s="47"/>
      <c r="AP14" s="47"/>
      <c r="AQ14" s="47"/>
      <c r="AR14" s="55"/>
      <c r="AS14" s="47"/>
      <c r="AT14" s="47"/>
      <c r="AU14" s="3"/>
      <c r="AV14" s="26">
        <v>1.5</v>
      </c>
      <c r="AW14" s="18">
        <v>3</v>
      </c>
      <c r="AX14" s="18">
        <v>6</v>
      </c>
      <c r="AY14" s="25"/>
      <c r="AZ14" s="25"/>
      <c r="BA14" s="25"/>
      <c r="BB14" s="25"/>
      <c r="BC14" s="25"/>
      <c r="BD14" s="25"/>
      <c r="BE14" s="25"/>
      <c r="BF14" s="25"/>
      <c r="BG14" s="25"/>
      <c r="BH14" s="25"/>
      <c r="BI14" s="25"/>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3"/>
      <c r="CS14" s="13"/>
      <c r="CT14" s="13"/>
      <c r="CU14" s="13"/>
    </row>
    <row r="15" spans="1:99" s="15" customFormat="1" ht="12" customHeight="1" x14ac:dyDescent="0.2">
      <c r="A15" s="37">
        <v>43509</v>
      </c>
      <c r="B15" s="1" t="s">
        <v>70</v>
      </c>
      <c r="C15" s="1" t="s">
        <v>17</v>
      </c>
      <c r="D15" s="32">
        <v>2010</v>
      </c>
      <c r="E15" s="41">
        <v>2</v>
      </c>
      <c r="F15" s="32">
        <v>32</v>
      </c>
      <c r="G15" s="32">
        <v>32</v>
      </c>
      <c r="H15" s="32" t="s">
        <v>22</v>
      </c>
      <c r="I15" s="32" t="s">
        <v>144</v>
      </c>
      <c r="J15" s="32" t="s">
        <v>133</v>
      </c>
      <c r="K15" s="32">
        <f>IF(J15="syllables",1,IF(J15="trigrams",2,IF(J15="strings",3,IF(J15="visual array",4,IF(J15="characters",5,IF(J15="letters",6,IF(J15="free forms",7,IF(J15="odors",8,IF(J15="words",9,IF(J15="pictures",10,IF(J15="object pictures",11,IF(J15="faces",12,IF(J15="names",13,IF(J15="idioms",14,IF(J15="grades",15,IF(J15="syllable-digit pairs",16,IF(J15="trigram-word pairs",17,IF(J15="word-digit pairs",18,IF(J15="English-Swahili pairs",19,IF(J15="spatial position",20,IF(J15="word pairs",21,IF(J15="word triads",22,IF(J15="generated words",23,IF(J15="word definition pairs",24,IF(J15="math problems",25,IF(J15="famous faces",26,IF(J15="famous names",27,IF(J15="famous voices",28,IF(J15="television programs",29,IF(J15="race horses",30,IF(J15="new vocabulary",31,IF(J15="sentences",32,IF(J15="concepts",33,IF(J15="ad slides",34,IF(J15="scenes",35,IF(J15="famous scenes",36,IF(J15="poems",37,IF(J15="walk",38,IF(J15="faces and events",39,IF(J15="events and names",40,IF(J15="flashbulb",41,IF(J15="stories",42,IF(J15="course material",43,IF(J15="autobiographical",44,IF(J15="novels",45,IF(J15="public events",46,"99"))))))))))))))))))))))))))))))))))))))))))))))</f>
        <v>6</v>
      </c>
      <c r="L15" s="32">
        <f>IF(J15="syllables",1,IF(J15="trigrams",1,IF(J15="strings",1,IF(J15="visual array",1,IF(J15="characters",1,IF(J15="letters",1,IF(J15="free forms",1,IF(J15="odors",2,IF(J15="words",2,IF(J15="pictures",2,IF(J15="object pictures",2,IF(J15="faces",2,IF(J15="names",2,IF(J15="idioms","2",IF(J15="grades",2,IF(J15="syllable-digit pairs",3,IF(J15="trigram-word pairs",3,IF(J15="word-digit pairs",3,IF(J15="English-Swahili pairs",3,IF(J15="spatial position",3,IF(J15="word pairs",4,IF(J15="word triads",4,IF(J15="generated words",4,IF(J15="word definition pairs",4,IF(J15="math problems",4,IF(J15="famous faces",4,IF(J15="famous names",4,IF(J15="famous voices",4,IF(J15="television programs",4,IF(J15="race horses",4,IF(J15="new vocabulary",4,IF(J15="sentences",5,IF(J15="concepts",5,IF(J15="ad slides",5,IF(J15="scenes",5,IF(J15="famous scenes",5,IF(J15="poems",6,IF(J15="walk",6,IF(J15="faces and events",6,IF(J15="events and names",6,IF(J15="flashbulb",7,IF(J15="stories",7,IF(J15="course material",7,IF(J15="autobiographical",7,IF(J15="novels",7,IF(J15="public events",7,"99"))))))))))))))))))))))))))))))))))))))))))))))</f>
        <v>1</v>
      </c>
      <c r="M15" s="32">
        <v>0</v>
      </c>
      <c r="N15" s="32">
        <v>1</v>
      </c>
      <c r="O15" s="32">
        <v>1</v>
      </c>
      <c r="P15" s="32" t="s">
        <v>21</v>
      </c>
      <c r="Q15" s="32" t="s">
        <v>18</v>
      </c>
      <c r="R15" s="32">
        <f>IF(Q15="Free Recall",1,IF(Q15="Cued Recall",2,IF(Q15="Recognition",3,IF(Q15="Multiple Choice",4,IF(Q15="Savings",5,IF(Q15="Stem Completion",6,IF(Q15="Fragment Completion",7,IF(Q15="anagram solution",8,IF(Q15="Matching",9,IF(Q15="Problem Solving",10,"99"))))))))))</f>
        <v>3</v>
      </c>
      <c r="S15" s="31" t="s">
        <v>196</v>
      </c>
      <c r="T15" s="31" t="s">
        <v>132</v>
      </c>
      <c r="U15" s="32">
        <f>IF(T15="within",1,0)</f>
        <v>1</v>
      </c>
      <c r="V15" s="31">
        <v>24</v>
      </c>
      <c r="W15" s="32">
        <f>F15*V15</f>
        <v>768</v>
      </c>
      <c r="X15" s="32">
        <v>3</v>
      </c>
      <c r="Y15" s="41">
        <f>AV14</f>
        <v>1.5</v>
      </c>
      <c r="Z15" s="32" t="s">
        <v>23</v>
      </c>
      <c r="AA15" s="32">
        <v>6</v>
      </c>
      <c r="AB15" s="32" t="str">
        <f>IF(AA15&lt;60,"1",IF(AA15&lt;=43200,"2",IF(AA15&lt;=777600,"3","4")))</f>
        <v>1</v>
      </c>
      <c r="AC15" s="28">
        <f>AVERAGE(AV14:DA14)</f>
        <v>3.5</v>
      </c>
      <c r="AD15" s="32" t="str">
        <f>IF(AC15&lt;60,"1",IF(AC15&lt;=43200,"2",IF(AC15&lt;=777600,"3","4")))</f>
        <v>1</v>
      </c>
      <c r="AE15" s="41">
        <f>AA15-Y15</f>
        <v>4.5</v>
      </c>
      <c r="AF15" s="45">
        <f>AV15</f>
        <v>1.7877997830827177</v>
      </c>
      <c r="AG15" s="30">
        <f>((AW15-AV15)+(AX15-AW15))/2</f>
        <v>-9.0316243254996431E-3</v>
      </c>
      <c r="AH15" s="4"/>
      <c r="AI15" s="28">
        <f>RSQ(AV15:AX15,AV14:AX14)</f>
        <v>6.0428139367587279E-2</v>
      </c>
      <c r="AJ15" s="51">
        <f>SLOPE(AV15:AX15,AV14:AX14)</f>
        <v>-1.6646383652503916E-2</v>
      </c>
      <c r="AK15" s="28">
        <f>INTERCEPT(AV15:AX15,AV14:AX14)</f>
        <v>1.9264603141320102</v>
      </c>
      <c r="AL15" s="28">
        <f>INDEX(LINEST(LN(AV15:AX15),LN(AV14:AX14),TRUE,TRUE),3,1)</f>
        <v>3.9030136411333247E-3</v>
      </c>
      <c r="AM15" s="28">
        <f>INDEX(LINEST(LN(AV15:AX15),LN(AV14:AX14)),1)</f>
        <v>-7.3252894346361244E-3</v>
      </c>
      <c r="AN15" s="28">
        <f>EXP(INDEX(LINEST(LN(AV15:AX15),LN(AV14:AX14)),1,2))</f>
        <v>1.8790899550499556</v>
      </c>
      <c r="AO15" s="47">
        <f>INDEX(LINEST((AV15:AX15),LN(AV14:AX14),TRUE,TRUE),3,1)</f>
        <v>3.3882219265910871E-3</v>
      </c>
      <c r="AP15" s="47">
        <f>INDEX(LINEST((AV15:AX15),LN(AV14:AX14)),1)</f>
        <v>-1.3029879625570446E-2</v>
      </c>
      <c r="AQ15" s="48">
        <f>INDEX(LINEST(LN(AV15:AX15),SQRT(AV14:AX14),TRUE,TRUE),3,1)</f>
        <v>2.5777094921076306E-2</v>
      </c>
      <c r="AR15" s="56">
        <f>INDEX(LINEST(LN(AV15:AX15),SQRT((AV14:AX14))),1)</f>
        <v>-2.1204655138958375E-2</v>
      </c>
      <c r="AS15" s="49">
        <f>INDEX(LINEST(1/(AV15:AX15),1/(SQRT(AV14:AX14)),TRUE,TRUE),3,1)</f>
        <v>1.0074497810396205E-3</v>
      </c>
      <c r="AT15" s="49">
        <f>INDEX(LINEST(1/(AV15:AX15),1/SQRT(AV14:AX14)),1)</f>
        <v>6.5985899490699964E-3</v>
      </c>
      <c r="AU15" s="3"/>
      <c r="AV15" s="25">
        <v>1.7877997830827177</v>
      </c>
      <c r="AW15" s="25">
        <v>2.0470575965303035</v>
      </c>
      <c r="AX15" s="25">
        <v>1.7697365344317184</v>
      </c>
      <c r="AY15" s="25"/>
      <c r="AZ15" s="25"/>
      <c r="BA15" s="25"/>
      <c r="BB15" s="25"/>
      <c r="BC15" s="25"/>
      <c r="BD15" s="25"/>
      <c r="BE15" s="25"/>
      <c r="BF15" s="25"/>
      <c r="BG15" s="25"/>
      <c r="BH15" s="25"/>
      <c r="BI15" s="25"/>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3"/>
      <c r="CS15" s="13"/>
      <c r="CT15" s="13"/>
      <c r="CU15" s="13"/>
    </row>
    <row r="16" spans="1:99" s="9" customFormat="1" ht="12" customHeight="1" x14ac:dyDescent="0.2">
      <c r="A16" s="37">
        <v>43509</v>
      </c>
      <c r="B16" s="1"/>
      <c r="C16" s="1"/>
      <c r="D16" s="32"/>
      <c r="E16" s="41"/>
      <c r="F16" s="32"/>
      <c r="G16" s="32"/>
      <c r="H16" s="32"/>
      <c r="I16" s="32"/>
      <c r="J16" s="32"/>
      <c r="K16" s="36"/>
      <c r="L16" s="36"/>
      <c r="M16" s="32"/>
      <c r="N16" s="32"/>
      <c r="O16" s="32"/>
      <c r="P16" s="32"/>
      <c r="Q16" s="32"/>
      <c r="R16" s="32"/>
      <c r="S16" s="32"/>
      <c r="T16" s="32"/>
      <c r="U16" s="32"/>
      <c r="V16" s="32"/>
      <c r="W16" s="32"/>
      <c r="X16" s="32"/>
      <c r="Y16" s="41"/>
      <c r="Z16" s="32"/>
      <c r="AA16" s="32"/>
      <c r="AB16" s="32"/>
      <c r="AC16" s="32"/>
      <c r="AD16" s="32"/>
      <c r="AE16" s="32"/>
      <c r="AF16" s="45"/>
      <c r="AG16" s="28"/>
      <c r="AH16" s="4"/>
      <c r="AI16" s="28"/>
      <c r="AJ16" s="51"/>
      <c r="AK16" s="28"/>
      <c r="AL16" s="28"/>
      <c r="AM16" s="28"/>
      <c r="AN16" s="28"/>
      <c r="AO16" s="47"/>
      <c r="AP16" s="47"/>
      <c r="AQ16" s="47"/>
      <c r="AR16" s="55"/>
      <c r="AS16" s="47"/>
      <c r="AT16" s="47"/>
      <c r="AU16" s="3"/>
      <c r="AV16" s="26">
        <v>1.5</v>
      </c>
      <c r="AW16" s="18">
        <v>3</v>
      </c>
      <c r="AX16" s="18">
        <v>6</v>
      </c>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1"/>
      <c r="CS16" s="1"/>
      <c r="CT16" s="1"/>
      <c r="CU16" s="1"/>
    </row>
    <row r="17" spans="1:99" s="9" customFormat="1" ht="12" customHeight="1" x14ac:dyDescent="0.2">
      <c r="A17" s="37">
        <v>43509</v>
      </c>
      <c r="B17" s="1" t="s">
        <v>70</v>
      </c>
      <c r="C17" s="1" t="s">
        <v>17</v>
      </c>
      <c r="D17" s="32">
        <v>2010</v>
      </c>
      <c r="E17" s="41">
        <v>2</v>
      </c>
      <c r="F17" s="32">
        <v>32</v>
      </c>
      <c r="G17" s="32">
        <v>32</v>
      </c>
      <c r="H17" s="32" t="s">
        <v>22</v>
      </c>
      <c r="I17" s="32" t="s">
        <v>149</v>
      </c>
      <c r="J17" s="32" t="s">
        <v>133</v>
      </c>
      <c r="K17" s="32">
        <f>IF(J17="syllables",1,IF(J17="trigrams",2,IF(J17="strings",3,IF(J17="visual array",4,IF(J17="characters",5,IF(J17="letters",6,IF(J17="free forms",7,IF(J17="odors",8,IF(J17="words",9,IF(J17="pictures",10,IF(J17="object pictures",11,IF(J17="faces",12,IF(J17="names",13,IF(J17="idioms",14,IF(J17="grades",15,IF(J17="syllable-digit pairs",16,IF(J17="trigram-word pairs",17,IF(J17="word-digit pairs",18,IF(J17="English-Swahili pairs",19,IF(J17="spatial position",20,IF(J17="word pairs",21,IF(J17="word triads",22,IF(J17="generated words",23,IF(J17="word definition pairs",24,IF(J17="math problems",25,IF(J17="famous faces",26,IF(J17="famous names",27,IF(J17="famous voices",28,IF(J17="television programs",29,IF(J17="race horses",30,IF(J17="new vocabulary",31,IF(J17="sentences",32,IF(J17="concepts",33,IF(J17="ad slides",34,IF(J17="scenes",35,IF(J17="famous scenes",36,IF(J17="poems",37,IF(J17="walk",38,IF(J17="faces and events",39,IF(J17="events and names",40,IF(J17="flashbulb",41,IF(J17="stories",42,IF(J17="course material",43,IF(J17="autobiographical",44,IF(J17="novels",45,IF(J17="public events",46,"99"))))))))))))))))))))))))))))))))))))))))))))))</f>
        <v>6</v>
      </c>
      <c r="L17" s="32">
        <f>IF(J17="syllables",1,IF(J17="trigrams",1,IF(J17="strings",1,IF(J17="visual array",1,IF(J17="characters",1,IF(J17="letters",1,IF(J17="free forms",1,IF(J17="odors",2,IF(J17="words",2,IF(J17="pictures",2,IF(J17="object pictures",2,IF(J17="faces",2,IF(J17="names",2,IF(J17="idioms","2",IF(J17="grades",2,IF(J17="syllable-digit pairs",3,IF(J17="trigram-word pairs",3,IF(J17="word-digit pairs",3,IF(J17="English-Swahili pairs",3,IF(J17="spatial position",3,IF(J17="word pairs",4,IF(J17="word triads",4,IF(J17="generated words",4,IF(J17="word definition pairs",4,IF(J17="math problems",4,IF(J17="famous faces",4,IF(J17="famous names",4,IF(J17="famous voices",4,IF(J17="television programs",4,IF(J17="race horses",4,IF(J17="new vocabulary",4,IF(J17="sentences",5,IF(J17="concepts",5,IF(J17="ad slides",5,IF(J17="scenes",5,IF(J17="famous scenes",5,IF(J17="poems",6,IF(J17="walk",6,IF(J17="faces and events",6,IF(J17="events and names",6,IF(J17="flashbulb",7,IF(J17="stories",7,IF(J17="course material",7,IF(J17="autobiographical",7,IF(J17="novels",7,IF(J17="public events",7,"99"))))))))))))))))))))))))))))))))))))))))))))))</f>
        <v>1</v>
      </c>
      <c r="M17" s="32">
        <v>0</v>
      </c>
      <c r="N17" s="32">
        <v>1</v>
      </c>
      <c r="O17" s="32">
        <v>1</v>
      </c>
      <c r="P17" s="32" t="s">
        <v>21</v>
      </c>
      <c r="Q17" s="32" t="s">
        <v>18</v>
      </c>
      <c r="R17" s="32">
        <f>IF(Q17="Free Recall",1,IF(Q17="Cued Recall",2,IF(Q17="Recognition",3,IF(Q17="Multiple Choice",4,IF(Q17="Savings",5,IF(Q17="Stem Completion",6,IF(Q17="Fragment Completion",7,IF(Q17="anagram solution",8,IF(Q17="Matching",9,IF(Q17="Problem Solving",10,"99"))))))))))</f>
        <v>3</v>
      </c>
      <c r="S17" s="31" t="s">
        <v>196</v>
      </c>
      <c r="T17" s="31" t="s">
        <v>132</v>
      </c>
      <c r="U17" s="32">
        <f>IF(T17="within",1,0)</f>
        <v>1</v>
      </c>
      <c r="V17" s="31">
        <v>24</v>
      </c>
      <c r="W17" s="32">
        <f>F17*V17</f>
        <v>768</v>
      </c>
      <c r="X17" s="32">
        <v>3</v>
      </c>
      <c r="Y17" s="41">
        <f>AV16</f>
        <v>1.5</v>
      </c>
      <c r="Z17" s="32" t="s">
        <v>23</v>
      </c>
      <c r="AA17" s="32">
        <v>6</v>
      </c>
      <c r="AB17" s="32" t="str">
        <f>IF(AA17&lt;60,"1",IF(AA17&lt;=43200,"2",IF(AA17&lt;=777600,"3","4")))</f>
        <v>1</v>
      </c>
      <c r="AC17" s="28">
        <f>AVERAGE(AV16:DA16)</f>
        <v>3.5</v>
      </c>
      <c r="AD17" s="32" t="str">
        <f>IF(AC17&lt;60,"1",IF(AC17&lt;=43200,"2",IF(AC17&lt;=777600,"3","4")))</f>
        <v>1</v>
      </c>
      <c r="AE17" s="41">
        <f>AA17-Y17</f>
        <v>4.5</v>
      </c>
      <c r="AF17" s="45">
        <f>AV17</f>
        <v>1.3552782535160466</v>
      </c>
      <c r="AG17" s="28">
        <f>((AW17-AV17)+(AX17-AW17))/2</f>
        <v>-0.33001723888019446</v>
      </c>
      <c r="AH17" s="4"/>
      <c r="AI17" s="28">
        <f>RSQ(AV17:AX17,AV16:AX16)</f>
        <v>0.99755759856532233</v>
      </c>
      <c r="AJ17" s="51">
        <f>SLOPE(AV17:AX17,AV16:AX16)</f>
        <v>-0.14808448455025391</v>
      </c>
      <c r="AK17" s="28">
        <f>INTERCEPT(AV17:AX17,AV16:AX16)</f>
        <v>1.5900963857729347</v>
      </c>
      <c r="AL17" s="28">
        <f>INDEX(LINEST(LN(AV17:AX17),LN(AV16:AX16),TRUE,TRUE),3,1)</f>
        <v>0.909489520923074</v>
      </c>
      <c r="AM17" s="28">
        <f>INDEX(LINEST(LN(AV17:AX17),LN(AV16:AX16)),1)</f>
        <v>-0.48149912713617249</v>
      </c>
      <c r="AN17" s="28">
        <f>EXP(INDEX(LINEST(LN(AV17:AX17),LN(AV16:AX16)),1,2))</f>
        <v>1.7507161124939945</v>
      </c>
      <c r="AO17" s="47">
        <f>INDEX(LINEST((AV17:AX17),LN(AV16:AX16),TRUE,TRUE),3,1)</f>
        <v>0.94369752160088116</v>
      </c>
      <c r="AP17" s="47">
        <f>INDEX(LINEST((AV17:AX17),LN(AV16:AX16)),1)</f>
        <v>-0.47611423394032482</v>
      </c>
      <c r="AQ17" s="48">
        <f>INDEX(LINEST(LN(AV17:AX17),SQRT(AV16:AX16),TRUE,TRUE),3,1)</f>
        <v>0.95782070917408235</v>
      </c>
      <c r="AR17" s="56">
        <f>INDEX(LINEST(LN(AV17:AX17),SQRT((AV16:AX16))),1)</f>
        <v>-0.5565808242608189</v>
      </c>
      <c r="AS17" s="49">
        <f>INDEX(LINEST(1/(AV17:AX17),1/(SQRT(AV16:AX16)),TRUE,TRUE),3,1)</f>
        <v>0.80242208344881527</v>
      </c>
      <c r="AT17" s="49">
        <f>INDEX(LINEST(1/(AV17:AX17),1/SQRT(AV16:AX16)),1)</f>
        <v>-1.6354511344626725</v>
      </c>
      <c r="AU17" s="3"/>
      <c r="AV17" s="25">
        <v>1.3552782535160466</v>
      </c>
      <c r="AW17" s="25">
        <v>1.1648800402694344</v>
      </c>
      <c r="AX17" s="25">
        <v>0.69524377575565766</v>
      </c>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1"/>
      <c r="CS17" s="1"/>
      <c r="CT17" s="1"/>
      <c r="CU17" s="1"/>
    </row>
    <row r="18" spans="1:99" s="9" customFormat="1" ht="12" customHeight="1" x14ac:dyDescent="0.2">
      <c r="A18" s="33"/>
      <c r="B18" s="10"/>
      <c r="C18" s="10"/>
      <c r="D18" s="36"/>
      <c r="E18" s="42"/>
      <c r="F18" s="36"/>
      <c r="G18" s="36"/>
      <c r="H18" s="36"/>
      <c r="I18" s="36"/>
      <c r="J18" s="36"/>
      <c r="K18" s="36"/>
      <c r="L18" s="36"/>
      <c r="M18" s="36"/>
      <c r="N18" s="36"/>
      <c r="O18" s="36"/>
      <c r="P18" s="36"/>
      <c r="Q18" s="36"/>
      <c r="R18" s="32"/>
      <c r="S18" s="36"/>
      <c r="T18" s="36"/>
      <c r="U18" s="36"/>
      <c r="V18" s="36"/>
      <c r="W18" s="32"/>
      <c r="X18" s="36"/>
      <c r="Y18" s="41"/>
      <c r="Z18" s="36"/>
      <c r="AA18" s="36"/>
      <c r="AB18" s="32"/>
      <c r="AC18" s="36"/>
      <c r="AD18" s="36"/>
      <c r="AE18" s="32"/>
      <c r="AF18" s="45"/>
      <c r="AG18" s="29"/>
      <c r="AH18" s="8"/>
      <c r="AI18" s="29"/>
      <c r="AJ18" s="54"/>
      <c r="AK18" s="29"/>
      <c r="AL18" s="29"/>
      <c r="AM18" s="29"/>
      <c r="AN18" s="29"/>
      <c r="AO18" s="29"/>
      <c r="AP18" s="29"/>
      <c r="AQ18" s="29"/>
      <c r="AR18" s="54"/>
      <c r="AS18" s="29"/>
      <c r="AT18" s="29"/>
      <c r="AU18" s="8"/>
      <c r="AV18" s="23"/>
      <c r="AW18" s="23"/>
      <c r="AX18" s="23"/>
      <c r="AY18" s="23"/>
      <c r="AZ18" s="23"/>
      <c r="BA18" s="23"/>
      <c r="BB18" s="23"/>
      <c r="BC18" s="16"/>
      <c r="BD18" s="16"/>
      <c r="BE18" s="16"/>
      <c r="BF18" s="16"/>
      <c r="BG18" s="16"/>
      <c r="BH18" s="16"/>
      <c r="BI18" s="16"/>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1"/>
      <c r="CS18" s="1"/>
      <c r="CT18" s="1"/>
      <c r="CU18" s="1"/>
    </row>
    <row r="19" spans="1:99" s="9" customFormat="1" ht="12" customHeight="1" x14ac:dyDescent="0.2">
      <c r="A19" s="33"/>
      <c r="B19" s="10"/>
      <c r="C19" s="10"/>
      <c r="D19" s="36"/>
      <c r="E19" s="42"/>
      <c r="F19" s="36"/>
      <c r="G19" s="36"/>
      <c r="H19" s="36"/>
      <c r="I19" s="36"/>
      <c r="J19" s="36"/>
      <c r="K19" s="32"/>
      <c r="L19" s="32"/>
      <c r="M19" s="36"/>
      <c r="N19" s="36"/>
      <c r="O19" s="36"/>
      <c r="P19" s="36"/>
      <c r="Q19" s="36"/>
      <c r="R19" s="32"/>
      <c r="S19" s="36"/>
      <c r="T19" s="36"/>
      <c r="U19" s="36"/>
      <c r="V19" s="36"/>
      <c r="W19" s="32"/>
      <c r="X19" s="36"/>
      <c r="Y19" s="41"/>
      <c r="Z19" s="36"/>
      <c r="AA19" s="36"/>
      <c r="AB19" s="32"/>
      <c r="AC19" s="36"/>
      <c r="AD19" s="36"/>
      <c r="AE19" s="41"/>
      <c r="AF19" s="45"/>
      <c r="AG19" s="29"/>
      <c r="AH19" s="8"/>
      <c r="AI19" s="29"/>
      <c r="AJ19" s="54"/>
      <c r="AK19" s="29"/>
      <c r="AL19" s="68" t="s">
        <v>135</v>
      </c>
      <c r="AM19" s="29">
        <f>AVERAGE(AM3:AM17)</f>
        <v>-0.22070323910457618</v>
      </c>
      <c r="AN19" s="29"/>
      <c r="AO19" s="29"/>
      <c r="AP19" s="29"/>
      <c r="AQ19" s="29"/>
      <c r="AR19" s="54"/>
      <c r="AS19" s="29"/>
      <c r="AT19" s="29"/>
      <c r="AU19" s="8"/>
      <c r="AV19" s="23"/>
      <c r="AW19" s="23"/>
      <c r="AX19" s="23"/>
      <c r="AY19" s="23"/>
      <c r="AZ19" s="23"/>
      <c r="BA19" s="23"/>
      <c r="BB19" s="23"/>
      <c r="BC19" s="16"/>
      <c r="BD19" s="16"/>
      <c r="BE19" s="16"/>
      <c r="BF19" s="16"/>
      <c r="BG19" s="16"/>
      <c r="BH19" s="16"/>
      <c r="BI19" s="16"/>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1"/>
      <c r="CS19" s="1"/>
      <c r="CT19" s="1"/>
      <c r="CU19" s="1"/>
    </row>
    <row r="20" spans="1:99" s="9" customFormat="1" ht="12" customHeight="1" x14ac:dyDescent="0.2">
      <c r="A20" s="33"/>
      <c r="B20" s="10"/>
      <c r="C20" s="10"/>
      <c r="D20" s="36"/>
      <c r="E20" s="42"/>
      <c r="F20" s="36"/>
      <c r="G20" s="36"/>
      <c r="H20" s="36"/>
      <c r="I20" s="36"/>
      <c r="J20" s="36"/>
      <c r="K20" s="36"/>
      <c r="L20" s="36"/>
      <c r="M20" s="36"/>
      <c r="N20" s="36"/>
      <c r="O20" s="36"/>
      <c r="P20" s="36"/>
      <c r="Q20" s="36"/>
      <c r="R20" s="32"/>
      <c r="S20" s="36"/>
      <c r="T20" s="36"/>
      <c r="U20" s="36"/>
      <c r="V20" s="36"/>
      <c r="W20" s="32"/>
      <c r="X20" s="36"/>
      <c r="Y20" s="41"/>
      <c r="Z20" s="36"/>
      <c r="AA20" s="36"/>
      <c r="AB20" s="32"/>
      <c r="AC20" s="36"/>
      <c r="AD20" s="36"/>
      <c r="AE20" s="32"/>
      <c r="AF20" s="45"/>
      <c r="AG20" s="29"/>
      <c r="AH20" s="8"/>
      <c r="AI20" s="29"/>
      <c r="AJ20" s="54"/>
      <c r="AK20" s="29"/>
      <c r="AL20" s="23" t="s">
        <v>188</v>
      </c>
      <c r="AM20" s="29">
        <f>MEDIAN(AM3:AM17)</f>
        <v>-0.20445447358778113</v>
      </c>
      <c r="AN20" s="29"/>
      <c r="AO20" s="29"/>
      <c r="AP20" s="29"/>
      <c r="AQ20" s="29"/>
      <c r="AR20" s="54"/>
      <c r="AS20" s="29"/>
      <c r="AT20" s="29"/>
      <c r="AU20" s="8"/>
      <c r="AV20" s="23"/>
      <c r="AW20" s="23"/>
      <c r="AX20" s="23"/>
      <c r="AY20" s="23"/>
      <c r="AZ20" s="23"/>
      <c r="BA20" s="23"/>
      <c r="BB20" s="23"/>
      <c r="BC20" s="16"/>
      <c r="BD20" s="16"/>
      <c r="BE20" s="16"/>
      <c r="BF20" s="16"/>
      <c r="BG20" s="16"/>
      <c r="BH20" s="16"/>
      <c r="BI20" s="16"/>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1"/>
      <c r="CS20" s="1"/>
      <c r="CT20" s="1"/>
      <c r="CU20" s="1"/>
    </row>
    <row r="21" spans="1:99" s="9" customFormat="1" ht="12" customHeight="1" x14ac:dyDescent="0.2">
      <c r="A21" s="33"/>
      <c r="B21" s="10"/>
      <c r="C21" s="10"/>
      <c r="D21" s="36"/>
      <c r="E21" s="42"/>
      <c r="F21" s="36"/>
      <c r="G21" s="36"/>
      <c r="H21" s="36"/>
      <c r="I21" s="36"/>
      <c r="J21" s="36"/>
      <c r="K21" s="32"/>
      <c r="L21" s="32"/>
      <c r="M21" s="36"/>
      <c r="N21" s="36"/>
      <c r="O21" s="36"/>
      <c r="P21" s="36"/>
      <c r="Q21" s="36"/>
      <c r="R21" s="32"/>
      <c r="S21" s="36"/>
      <c r="T21" s="36"/>
      <c r="U21" s="36"/>
      <c r="V21" s="36"/>
      <c r="W21" s="32"/>
      <c r="X21" s="36"/>
      <c r="Y21" s="41"/>
      <c r="Z21" s="36"/>
      <c r="AA21" s="36"/>
      <c r="AB21" s="32"/>
      <c r="AC21" s="36"/>
      <c r="AD21" s="36"/>
      <c r="AE21" s="41"/>
      <c r="AF21" s="45"/>
      <c r="AG21" s="29"/>
      <c r="AH21" s="8"/>
      <c r="AI21" s="29"/>
      <c r="AJ21" s="54"/>
      <c r="AK21" s="29"/>
      <c r="AL21" s="68" t="s">
        <v>167</v>
      </c>
      <c r="AM21" s="29">
        <f>MIN(AM3:AM17)</f>
        <v>-0.48149912713617249</v>
      </c>
      <c r="AN21" s="29"/>
      <c r="AO21" s="29"/>
      <c r="AP21" s="29"/>
      <c r="AQ21" s="29"/>
      <c r="AR21" s="54"/>
      <c r="AS21" s="29"/>
      <c r="AT21" s="29"/>
      <c r="AU21" s="8"/>
      <c r="AV21" s="23"/>
      <c r="AW21" s="23"/>
      <c r="AX21" s="23"/>
      <c r="AY21" s="23"/>
      <c r="AZ21" s="23"/>
      <c r="BA21" s="23"/>
      <c r="BB21" s="23"/>
      <c r="BC21" s="16"/>
      <c r="BD21" s="16"/>
      <c r="BE21" s="16"/>
      <c r="BF21" s="16"/>
      <c r="BG21" s="16"/>
      <c r="BH21" s="16"/>
      <c r="BI21" s="16"/>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1"/>
      <c r="CS21" s="1"/>
      <c r="CT21" s="1"/>
      <c r="CU21" s="1"/>
    </row>
    <row r="22" spans="1:99" s="9" customFormat="1" ht="12" customHeight="1" x14ac:dyDescent="0.2">
      <c r="A22" s="33"/>
      <c r="B22" s="10"/>
      <c r="C22" s="10"/>
      <c r="D22" s="36"/>
      <c r="E22" s="42"/>
      <c r="F22" s="36"/>
      <c r="G22" s="36"/>
      <c r="H22" s="36"/>
      <c r="I22" s="36"/>
      <c r="J22" s="36"/>
      <c r="K22" s="36"/>
      <c r="L22" s="36"/>
      <c r="M22" s="36"/>
      <c r="N22" s="36"/>
      <c r="O22" s="36"/>
      <c r="P22" s="36"/>
      <c r="Q22" s="36"/>
      <c r="R22" s="32"/>
      <c r="S22" s="36"/>
      <c r="T22" s="36"/>
      <c r="U22" s="36"/>
      <c r="V22" s="36"/>
      <c r="W22" s="32"/>
      <c r="X22" s="36"/>
      <c r="Y22" s="41"/>
      <c r="Z22" s="36"/>
      <c r="AA22" s="36"/>
      <c r="AB22" s="32"/>
      <c r="AC22" s="36"/>
      <c r="AD22" s="36"/>
      <c r="AE22" s="32"/>
      <c r="AF22" s="45"/>
      <c r="AG22" s="29"/>
      <c r="AH22" s="8"/>
      <c r="AI22" s="29"/>
      <c r="AJ22" s="54"/>
      <c r="AK22" s="29"/>
      <c r="AL22" s="68" t="s">
        <v>166</v>
      </c>
      <c r="AM22" s="29">
        <f>MAX(AM3:AM17)</f>
        <v>-7.3252894346361244E-3</v>
      </c>
      <c r="AN22" s="29"/>
      <c r="AO22" s="29"/>
      <c r="AP22" s="29"/>
      <c r="AQ22" s="29"/>
      <c r="AR22" s="54"/>
      <c r="AS22" s="29"/>
      <c r="AT22" s="29"/>
      <c r="AU22" s="8"/>
      <c r="AV22" s="23"/>
      <c r="AW22" s="23"/>
      <c r="AX22" s="23"/>
      <c r="AY22" s="23"/>
      <c r="AZ22" s="23"/>
      <c r="BA22" s="23"/>
      <c r="BB22" s="23"/>
      <c r="BC22" s="16"/>
      <c r="BD22" s="16"/>
      <c r="BE22" s="16"/>
      <c r="BF22" s="16"/>
      <c r="BG22" s="16"/>
      <c r="BH22" s="16"/>
      <c r="BI22" s="16"/>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1"/>
      <c r="CS22" s="1"/>
      <c r="CT22" s="1"/>
      <c r="CU22" s="1"/>
    </row>
    <row r="23" spans="1:99" s="9" customFormat="1" ht="12" customHeight="1" x14ac:dyDescent="0.2">
      <c r="A23" s="33"/>
      <c r="B23" s="10"/>
      <c r="C23" s="10"/>
      <c r="D23" s="36"/>
      <c r="E23" s="42"/>
      <c r="F23" s="36"/>
      <c r="G23" s="36"/>
      <c r="H23" s="36"/>
      <c r="I23" s="36"/>
      <c r="J23" s="36"/>
      <c r="K23" s="32"/>
      <c r="L23" s="32"/>
      <c r="M23" s="36"/>
      <c r="N23" s="36"/>
      <c r="O23" s="36"/>
      <c r="P23" s="36"/>
      <c r="Q23" s="36"/>
      <c r="R23" s="32"/>
      <c r="S23" s="36"/>
      <c r="T23" s="36"/>
      <c r="U23" s="36"/>
      <c r="V23" s="36"/>
      <c r="W23" s="32"/>
      <c r="X23" s="36"/>
      <c r="Y23" s="41"/>
      <c r="Z23" s="36"/>
      <c r="AA23" s="36"/>
      <c r="AB23" s="32"/>
      <c r="AC23" s="36"/>
      <c r="AD23" s="36"/>
      <c r="AE23" s="41"/>
      <c r="AF23" s="45"/>
      <c r="AG23" s="29"/>
      <c r="AH23" s="8"/>
      <c r="AI23" s="29"/>
      <c r="AJ23" s="54"/>
      <c r="AK23" s="29"/>
      <c r="AL23" s="68" t="s">
        <v>168</v>
      </c>
      <c r="AM23" s="36">
        <f xml:space="preserve"> STDEV(AM3:AM17)</f>
        <v>0.17231994860578892</v>
      </c>
      <c r="AN23" s="29"/>
      <c r="AO23" s="29"/>
      <c r="AP23" s="29"/>
      <c r="AQ23" s="29"/>
      <c r="AR23" s="54"/>
      <c r="AS23" s="29"/>
      <c r="AT23" s="29"/>
      <c r="AU23" s="8"/>
      <c r="AV23" s="23"/>
      <c r="AW23" s="23"/>
      <c r="AX23" s="23"/>
      <c r="AY23" s="23"/>
      <c r="AZ23" s="23"/>
      <c r="BA23" s="23"/>
      <c r="BB23" s="23"/>
      <c r="BC23" s="16"/>
      <c r="BD23" s="16"/>
      <c r="BE23" s="16"/>
      <c r="BF23" s="16"/>
      <c r="BG23" s="16"/>
      <c r="BH23" s="16"/>
      <c r="BI23" s="16"/>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1"/>
      <c r="CS23" s="1"/>
      <c r="CT23" s="1"/>
      <c r="CU23" s="1"/>
    </row>
    <row r="24" spans="1:99" s="9" customFormat="1" ht="12" customHeight="1" x14ac:dyDescent="0.2">
      <c r="A24" s="33"/>
      <c r="B24" s="10"/>
      <c r="C24" s="10"/>
      <c r="D24" s="36"/>
      <c r="E24" s="42"/>
      <c r="F24" s="36"/>
      <c r="G24" s="36"/>
      <c r="H24" s="36"/>
      <c r="I24" s="36"/>
      <c r="J24" s="36"/>
      <c r="K24" s="36"/>
      <c r="L24" s="36"/>
      <c r="M24" s="36"/>
      <c r="N24" s="36"/>
      <c r="O24" s="36"/>
      <c r="P24" s="36"/>
      <c r="Q24" s="36"/>
      <c r="R24" s="32"/>
      <c r="S24" s="36"/>
      <c r="T24" s="36"/>
      <c r="U24" s="36"/>
      <c r="V24" s="36"/>
      <c r="W24" s="32"/>
      <c r="X24" s="36"/>
      <c r="Y24" s="41"/>
      <c r="Z24" s="36"/>
      <c r="AA24" s="36"/>
      <c r="AB24" s="32"/>
      <c r="AC24" s="36"/>
      <c r="AD24" s="36"/>
      <c r="AE24" s="32"/>
      <c r="AF24" s="45"/>
      <c r="AG24" s="29"/>
      <c r="AH24" s="8"/>
      <c r="AI24" s="29"/>
      <c r="AJ24" s="54"/>
      <c r="AK24" s="29"/>
      <c r="AL24" s="23" t="s">
        <v>187</v>
      </c>
      <c r="AM24" s="36">
        <f xml:space="preserve"> STDEV(AM3:AM17)/SQRT(COUNT(AM3:AM17))</f>
        <v>6.0924302096435345E-2</v>
      </c>
      <c r="AN24" s="29"/>
      <c r="AO24" s="29"/>
      <c r="AP24" s="29"/>
      <c r="AQ24" s="29"/>
      <c r="AR24" s="54"/>
      <c r="AS24" s="29"/>
      <c r="AT24" s="29"/>
      <c r="AU24" s="8"/>
      <c r="AV24" s="23"/>
      <c r="AW24" s="23"/>
      <c r="AX24" s="23"/>
      <c r="AY24" s="23"/>
      <c r="AZ24" s="23"/>
      <c r="BA24" s="23"/>
      <c r="BB24" s="23"/>
      <c r="BC24" s="16"/>
      <c r="BD24" s="16"/>
      <c r="BE24" s="16"/>
      <c r="BF24" s="16"/>
      <c r="BG24" s="16"/>
      <c r="BH24" s="16"/>
      <c r="BI24" s="16"/>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1"/>
      <c r="CS24" s="1"/>
      <c r="CT24" s="1"/>
      <c r="CU24" s="1"/>
    </row>
    <row r="25" spans="1:99" s="9" customFormat="1" ht="12" customHeight="1" x14ac:dyDescent="0.2">
      <c r="A25" s="33"/>
      <c r="B25" s="10"/>
      <c r="C25" s="10"/>
      <c r="D25" s="36"/>
      <c r="E25" s="42"/>
      <c r="F25" s="36"/>
      <c r="G25" s="36"/>
      <c r="H25" s="36"/>
      <c r="I25" s="36"/>
      <c r="J25" s="36"/>
      <c r="K25" s="32"/>
      <c r="L25" s="32"/>
      <c r="M25" s="36"/>
      <c r="N25" s="36"/>
      <c r="O25" s="36"/>
      <c r="P25" s="36"/>
      <c r="Q25" s="36"/>
      <c r="R25" s="32"/>
      <c r="S25" s="36"/>
      <c r="T25" s="36"/>
      <c r="U25" s="36"/>
      <c r="V25" s="36"/>
      <c r="W25" s="32"/>
      <c r="X25" s="36"/>
      <c r="Y25" s="41"/>
      <c r="Z25" s="36"/>
      <c r="AA25" s="36"/>
      <c r="AB25" s="32"/>
      <c r="AC25" s="36"/>
      <c r="AD25" s="36"/>
      <c r="AE25" s="41"/>
      <c r="AF25" s="45"/>
      <c r="AG25" s="29"/>
      <c r="AH25" s="8"/>
      <c r="AI25" s="29"/>
      <c r="AJ25" s="54"/>
      <c r="AK25" s="29"/>
      <c r="AL25" s="69"/>
      <c r="AM25" s="70"/>
      <c r="AN25" s="29"/>
      <c r="AO25" s="29"/>
      <c r="AP25" s="29"/>
      <c r="AQ25" s="29"/>
      <c r="AR25" s="54"/>
      <c r="AS25" s="29"/>
      <c r="AT25" s="29"/>
      <c r="AU25" s="8"/>
      <c r="AV25" s="23"/>
      <c r="AW25" s="23"/>
      <c r="AX25" s="23"/>
      <c r="AY25" s="23"/>
      <c r="AZ25" s="23"/>
      <c r="BA25" s="23"/>
      <c r="BB25" s="23"/>
      <c r="BC25" s="16"/>
      <c r="BD25" s="16"/>
      <c r="BE25" s="16"/>
      <c r="BF25" s="16"/>
      <c r="BG25" s="16"/>
      <c r="BH25" s="16"/>
      <c r="BI25" s="16"/>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1"/>
      <c r="CS25" s="1"/>
      <c r="CT25" s="1"/>
      <c r="CU25" s="1"/>
    </row>
    <row r="26" spans="1:99" s="9" customFormat="1" ht="12" customHeight="1" x14ac:dyDescent="0.2">
      <c r="A26" s="33"/>
      <c r="B26" s="10"/>
      <c r="C26" s="10"/>
      <c r="D26" s="36"/>
      <c r="E26" s="42"/>
      <c r="F26" s="36"/>
      <c r="G26" s="36"/>
      <c r="H26" s="36"/>
      <c r="I26" s="36"/>
      <c r="J26" s="36"/>
      <c r="K26" s="36"/>
      <c r="L26" s="36"/>
      <c r="M26" s="36"/>
      <c r="N26" s="36"/>
      <c r="O26" s="36"/>
      <c r="P26" s="36"/>
      <c r="Q26" s="36"/>
      <c r="R26" s="36"/>
      <c r="S26" s="36"/>
      <c r="T26" s="36"/>
      <c r="U26" s="36"/>
      <c r="V26" s="36"/>
      <c r="W26" s="32"/>
      <c r="X26" s="36"/>
      <c r="Y26" s="41"/>
      <c r="Z26" s="36"/>
      <c r="AA26" s="36"/>
      <c r="AB26" s="32"/>
      <c r="AC26" s="36"/>
      <c r="AD26" s="36"/>
      <c r="AE26" s="32"/>
      <c r="AF26" s="45"/>
      <c r="AG26" s="29"/>
      <c r="AH26" s="8"/>
      <c r="AI26" s="29"/>
      <c r="AJ26" s="54"/>
      <c r="AK26" s="29"/>
      <c r="AL26" s="69" t="s">
        <v>45</v>
      </c>
      <c r="AM26" s="70">
        <f>AM19-(3*AM23)</f>
        <v>-0.73766308492194299</v>
      </c>
      <c r="AN26" s="29"/>
      <c r="AO26" s="29"/>
      <c r="AP26" s="29"/>
      <c r="AQ26" s="29"/>
      <c r="AR26" s="54"/>
      <c r="AS26" s="29"/>
      <c r="AT26" s="29"/>
      <c r="AU26" s="8"/>
      <c r="AV26" s="23"/>
      <c r="AW26" s="23"/>
      <c r="AX26" s="23"/>
      <c r="AY26" s="23"/>
      <c r="AZ26" s="23"/>
      <c r="BA26" s="23"/>
      <c r="BB26" s="23"/>
      <c r="BC26" s="16"/>
      <c r="BD26" s="16"/>
      <c r="BE26" s="16"/>
      <c r="BF26" s="16"/>
      <c r="BG26" s="16"/>
      <c r="BH26" s="16"/>
      <c r="BI26" s="16"/>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1"/>
      <c r="CS26" s="1"/>
      <c r="CT26" s="1"/>
      <c r="CU26" s="1"/>
    </row>
    <row r="27" spans="1:99" s="9" customFormat="1" ht="12" customHeight="1" x14ac:dyDescent="0.2">
      <c r="A27" s="33"/>
      <c r="B27" s="10"/>
      <c r="C27" s="10"/>
      <c r="D27" s="36"/>
      <c r="E27" s="42"/>
      <c r="F27" s="36"/>
      <c r="G27" s="36"/>
      <c r="H27" s="36"/>
      <c r="I27" s="36"/>
      <c r="J27" s="36"/>
      <c r="K27" s="32"/>
      <c r="L27" s="32"/>
      <c r="M27" s="36"/>
      <c r="N27" s="36"/>
      <c r="O27" s="36"/>
      <c r="P27" s="36"/>
      <c r="Q27" s="36"/>
      <c r="R27" s="36"/>
      <c r="S27" s="36"/>
      <c r="T27" s="36"/>
      <c r="U27" s="36"/>
      <c r="V27" s="36"/>
      <c r="W27" s="32"/>
      <c r="X27" s="36"/>
      <c r="Y27" s="41"/>
      <c r="Z27" s="36"/>
      <c r="AA27" s="36"/>
      <c r="AB27" s="36"/>
      <c r="AC27" s="36"/>
      <c r="AD27" s="36"/>
      <c r="AE27" s="41"/>
      <c r="AF27" s="45"/>
      <c r="AG27" s="29"/>
      <c r="AH27" s="8"/>
      <c r="AI27" s="29"/>
      <c r="AJ27" s="54"/>
      <c r="AK27" s="29"/>
      <c r="AL27" s="69" t="s">
        <v>44</v>
      </c>
      <c r="AM27" s="70">
        <f>AM19+(3*AM23)</f>
        <v>0.29625660671279058</v>
      </c>
      <c r="AN27" s="29"/>
      <c r="AO27" s="29"/>
      <c r="AP27" s="29"/>
      <c r="AQ27" s="29"/>
      <c r="AR27" s="54"/>
      <c r="AS27" s="29"/>
      <c r="AT27" s="29"/>
      <c r="AU27" s="8"/>
      <c r="AV27" s="23"/>
      <c r="AW27" s="23"/>
      <c r="AX27" s="23"/>
      <c r="AY27" s="23"/>
      <c r="AZ27" s="23"/>
      <c r="BA27" s="23"/>
      <c r="BB27" s="23"/>
      <c r="BC27" s="16"/>
      <c r="BD27" s="16"/>
      <c r="BE27" s="16"/>
      <c r="BF27" s="16"/>
      <c r="BG27" s="16"/>
      <c r="BH27" s="16"/>
      <c r="BI27" s="16"/>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1"/>
      <c r="CS27" s="1"/>
      <c r="CT27" s="1"/>
      <c r="CU27" s="1"/>
    </row>
    <row r="28" spans="1:99" s="9" customFormat="1" ht="12" customHeight="1" x14ac:dyDescent="0.2">
      <c r="A28" s="33"/>
      <c r="B28" s="10"/>
      <c r="C28" s="10"/>
      <c r="D28" s="36"/>
      <c r="E28" s="42"/>
      <c r="F28" s="36"/>
      <c r="G28" s="36"/>
      <c r="H28" s="36"/>
      <c r="I28" s="36"/>
      <c r="J28" s="36"/>
      <c r="K28" s="36"/>
      <c r="L28" s="36"/>
      <c r="M28" s="36"/>
      <c r="N28" s="36"/>
      <c r="O28" s="36"/>
      <c r="P28" s="36"/>
      <c r="Q28" s="36"/>
      <c r="R28" s="36"/>
      <c r="S28" s="36"/>
      <c r="T28" s="36"/>
      <c r="U28" s="36"/>
      <c r="V28" s="36"/>
      <c r="W28" s="32"/>
      <c r="X28" s="36"/>
      <c r="Y28" s="41"/>
      <c r="Z28" s="36"/>
      <c r="AA28" s="36"/>
      <c r="AB28" s="36"/>
      <c r="AC28" s="36"/>
      <c r="AD28" s="36"/>
      <c r="AE28" s="32"/>
      <c r="AF28" s="45"/>
      <c r="AG28" s="29"/>
      <c r="AH28" s="8"/>
      <c r="AI28" s="29"/>
      <c r="AJ28" s="54"/>
      <c r="AK28" s="29"/>
      <c r="AL28" s="29"/>
      <c r="AM28" s="29"/>
      <c r="AN28" s="29"/>
      <c r="AO28" s="29"/>
      <c r="AP28" s="29"/>
      <c r="AQ28" s="29"/>
      <c r="AR28" s="54"/>
      <c r="AS28" s="29"/>
      <c r="AT28" s="29"/>
      <c r="AU28" s="8"/>
      <c r="AV28" s="23"/>
      <c r="AW28" s="23"/>
      <c r="AX28" s="23"/>
      <c r="AY28" s="23"/>
      <c r="AZ28" s="23"/>
      <c r="BA28" s="23"/>
      <c r="BB28" s="23"/>
      <c r="BC28" s="16"/>
      <c r="BD28" s="16"/>
      <c r="BE28" s="16"/>
      <c r="BF28" s="16"/>
      <c r="BG28" s="16"/>
      <c r="BH28" s="16"/>
      <c r="BI28" s="16"/>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1"/>
      <c r="CS28" s="1"/>
      <c r="CT28" s="1"/>
      <c r="CU28" s="1"/>
    </row>
    <row r="29" spans="1:99" s="9" customFormat="1" ht="12" customHeight="1" x14ac:dyDescent="0.2">
      <c r="A29" s="33"/>
      <c r="B29" s="10"/>
      <c r="C29" s="10"/>
      <c r="D29" s="36"/>
      <c r="E29" s="42"/>
      <c r="F29" s="36"/>
      <c r="G29" s="36"/>
      <c r="H29" s="36"/>
      <c r="I29" s="36"/>
      <c r="J29" s="36"/>
      <c r="K29" s="32"/>
      <c r="L29" s="32"/>
      <c r="M29" s="36"/>
      <c r="N29" s="36"/>
      <c r="O29" s="36"/>
      <c r="P29" s="36"/>
      <c r="Q29" s="36"/>
      <c r="R29" s="36"/>
      <c r="S29" s="36"/>
      <c r="T29" s="36"/>
      <c r="U29" s="36"/>
      <c r="V29" s="36"/>
      <c r="W29" s="32"/>
      <c r="X29" s="36"/>
      <c r="Y29" s="41"/>
      <c r="Z29" s="36"/>
      <c r="AA29" s="36"/>
      <c r="AB29" s="36"/>
      <c r="AC29" s="36"/>
      <c r="AD29" s="36"/>
      <c r="AE29" s="41"/>
      <c r="AF29" s="45"/>
      <c r="AG29" s="29"/>
      <c r="AH29" s="8"/>
      <c r="AI29" s="29"/>
      <c r="AJ29" s="54"/>
      <c r="AK29" s="29"/>
      <c r="AL29" s="29"/>
      <c r="AM29" s="29"/>
      <c r="AN29" s="29"/>
      <c r="AO29" s="29"/>
      <c r="AP29" s="29"/>
      <c r="AQ29" s="29"/>
      <c r="AR29" s="54"/>
      <c r="AS29" s="29"/>
      <c r="AT29" s="29"/>
      <c r="AU29" s="8"/>
      <c r="AV29" s="23"/>
      <c r="AW29" s="23"/>
      <c r="AX29" s="23"/>
      <c r="AY29" s="23"/>
      <c r="AZ29" s="23"/>
      <c r="BA29" s="23"/>
      <c r="BB29" s="23"/>
      <c r="BC29" s="16"/>
      <c r="BD29" s="16"/>
      <c r="BE29" s="16"/>
      <c r="BF29" s="16"/>
      <c r="BG29" s="16"/>
      <c r="BH29" s="16"/>
      <c r="BI29" s="16"/>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1"/>
      <c r="CS29" s="1"/>
      <c r="CT29" s="1"/>
      <c r="CU29" s="1"/>
    </row>
    <row r="30" spans="1:99" s="9" customFormat="1" ht="12" customHeight="1" x14ac:dyDescent="0.2">
      <c r="A30" s="33"/>
      <c r="B30" s="10"/>
      <c r="C30" s="10"/>
      <c r="D30" s="36"/>
      <c r="E30" s="42"/>
      <c r="F30" s="36"/>
      <c r="G30" s="36"/>
      <c r="H30" s="36"/>
      <c r="I30" s="36"/>
      <c r="J30" s="36"/>
      <c r="K30" s="36"/>
      <c r="L30" s="36"/>
      <c r="M30" s="36"/>
      <c r="N30" s="36"/>
      <c r="O30" s="36"/>
      <c r="P30" s="36"/>
      <c r="Q30" s="36"/>
      <c r="R30" s="36"/>
      <c r="S30" s="36"/>
      <c r="T30" s="36"/>
      <c r="U30" s="36"/>
      <c r="V30" s="36"/>
      <c r="W30" s="32"/>
      <c r="X30" s="36"/>
      <c r="Y30" s="41"/>
      <c r="Z30" s="36"/>
      <c r="AA30" s="36"/>
      <c r="AB30" s="36"/>
      <c r="AC30" s="36"/>
      <c r="AD30" s="36"/>
      <c r="AE30" s="32"/>
      <c r="AF30" s="45"/>
      <c r="AG30" s="29"/>
      <c r="AH30" s="8"/>
      <c r="AI30" s="29"/>
      <c r="AJ30" s="54"/>
      <c r="AK30" s="29"/>
      <c r="AL30" s="29"/>
      <c r="AM30" s="29"/>
      <c r="AN30" s="29"/>
      <c r="AO30" s="29"/>
      <c r="AP30" s="29"/>
      <c r="AQ30" s="29"/>
      <c r="AR30" s="54"/>
      <c r="AS30" s="29"/>
      <c r="AT30" s="29"/>
      <c r="AU30" s="8"/>
      <c r="AV30" s="23"/>
      <c r="AW30" s="23"/>
      <c r="AX30" s="23"/>
      <c r="AY30" s="23"/>
      <c r="AZ30" s="23"/>
      <c r="BA30" s="23"/>
      <c r="BB30" s="23"/>
      <c r="BC30" s="16"/>
      <c r="BD30" s="16"/>
      <c r="BE30" s="16"/>
      <c r="BF30" s="16"/>
      <c r="BG30" s="16"/>
      <c r="BH30" s="16"/>
      <c r="BI30" s="16"/>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1"/>
      <c r="CS30" s="1"/>
      <c r="CT30" s="1"/>
      <c r="CU30" s="1"/>
    </row>
    <row r="31" spans="1:99" s="9" customFormat="1" ht="12" customHeight="1" x14ac:dyDescent="0.2">
      <c r="A31" s="33"/>
      <c r="B31" s="10"/>
      <c r="C31" s="10"/>
      <c r="D31" s="36"/>
      <c r="E31" s="42"/>
      <c r="F31" s="36"/>
      <c r="G31" s="36"/>
      <c r="H31" s="36"/>
      <c r="I31" s="36"/>
      <c r="J31" s="36"/>
      <c r="K31" s="32"/>
      <c r="L31" s="32"/>
      <c r="M31" s="36"/>
      <c r="N31" s="36"/>
      <c r="O31" s="36"/>
      <c r="P31" s="36"/>
      <c r="Q31" s="36"/>
      <c r="R31" s="36"/>
      <c r="S31" s="36"/>
      <c r="T31" s="36"/>
      <c r="U31" s="36"/>
      <c r="V31" s="36"/>
      <c r="W31" s="32"/>
      <c r="X31" s="36"/>
      <c r="Y31" s="41"/>
      <c r="Z31" s="36"/>
      <c r="AA31" s="36"/>
      <c r="AB31" s="36"/>
      <c r="AC31" s="36"/>
      <c r="AD31" s="36"/>
      <c r="AE31" s="41"/>
      <c r="AF31" s="45"/>
      <c r="AG31" s="29"/>
      <c r="AH31" s="8"/>
      <c r="AI31" s="29"/>
      <c r="AJ31" s="54"/>
      <c r="AK31" s="29"/>
      <c r="AL31" s="29"/>
      <c r="AM31" s="29"/>
      <c r="AN31" s="29"/>
      <c r="AO31" s="29"/>
      <c r="AP31" s="29"/>
      <c r="AQ31" s="29"/>
      <c r="AR31" s="54"/>
      <c r="AS31" s="29"/>
      <c r="AT31" s="29"/>
      <c r="AU31" s="8"/>
      <c r="AV31" s="23"/>
      <c r="AW31" s="23"/>
      <c r="AX31" s="23"/>
      <c r="AY31" s="23"/>
      <c r="AZ31" s="23"/>
      <c r="BA31" s="23"/>
      <c r="BB31" s="23"/>
      <c r="BC31" s="16"/>
      <c r="BD31" s="16"/>
      <c r="BE31" s="16"/>
      <c r="BF31" s="16"/>
      <c r="BG31" s="16"/>
      <c r="BH31" s="16"/>
      <c r="BI31" s="16"/>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1"/>
      <c r="CS31" s="1"/>
      <c r="CT31" s="1"/>
      <c r="CU31" s="1"/>
    </row>
    <row r="32" spans="1:99" ht="12" customHeight="1" x14ac:dyDescent="0.2">
      <c r="W32" s="32"/>
      <c r="Y32" s="41"/>
      <c r="AE32" s="32"/>
      <c r="AF32" s="45"/>
    </row>
    <row r="33" spans="1:95" s="11" customFormat="1" ht="12" customHeight="1" x14ac:dyDescent="0.2">
      <c r="A33" s="33"/>
      <c r="B33" s="10"/>
      <c r="C33" s="10"/>
      <c r="D33" s="36"/>
      <c r="E33" s="42"/>
      <c r="F33" s="36"/>
      <c r="G33" s="36"/>
      <c r="H33" s="36"/>
      <c r="I33" s="36"/>
      <c r="J33" s="36"/>
      <c r="K33" s="32"/>
      <c r="L33" s="32"/>
      <c r="M33" s="36"/>
      <c r="N33" s="36"/>
      <c r="O33" s="36"/>
      <c r="P33" s="36"/>
      <c r="Q33" s="36"/>
      <c r="R33" s="36"/>
      <c r="S33" s="36"/>
      <c r="T33" s="36"/>
      <c r="U33" s="36"/>
      <c r="V33" s="36"/>
      <c r="W33" s="32"/>
      <c r="X33" s="36"/>
      <c r="Y33" s="41"/>
      <c r="Z33" s="36"/>
      <c r="AA33" s="36"/>
      <c r="AB33" s="36"/>
      <c r="AC33" s="36"/>
      <c r="AD33" s="36"/>
      <c r="AE33" s="41"/>
      <c r="AF33" s="45"/>
      <c r="AG33" s="29"/>
      <c r="AH33" s="8"/>
      <c r="AI33" s="29"/>
      <c r="AJ33" s="54"/>
      <c r="AK33" s="29"/>
      <c r="AL33" s="29"/>
      <c r="AM33" s="29"/>
      <c r="AN33" s="29"/>
      <c r="AO33" s="29"/>
      <c r="AP33" s="29"/>
      <c r="AQ33" s="29"/>
      <c r="AR33" s="54"/>
      <c r="AS33" s="29"/>
      <c r="AT33" s="29"/>
      <c r="AU33" s="8"/>
      <c r="AV33" s="23"/>
      <c r="AW33" s="23"/>
      <c r="AX33" s="23"/>
      <c r="AY33" s="23"/>
      <c r="AZ33" s="23"/>
      <c r="BA33" s="23"/>
      <c r="BB33" s="23"/>
      <c r="BC33" s="16"/>
      <c r="BD33" s="16"/>
      <c r="BE33" s="16"/>
      <c r="BF33" s="16"/>
      <c r="BG33" s="16"/>
      <c r="BH33" s="16"/>
      <c r="BI33" s="16"/>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row>
    <row r="34" spans="1:95" ht="12" customHeight="1" x14ac:dyDescent="0.2"/>
    <row r="35" spans="1:95" ht="12" customHeight="1" x14ac:dyDescent="0.2">
      <c r="K35" s="32"/>
      <c r="L35" s="32"/>
    </row>
    <row r="36" spans="1:95" ht="12" customHeight="1" x14ac:dyDescent="0.2"/>
    <row r="37" spans="1:95" ht="12" customHeight="1" x14ac:dyDescent="0.2"/>
    <row r="38" spans="1:95" ht="12" customHeight="1" x14ac:dyDescent="0.2"/>
    <row r="39" spans="1:95" ht="12" customHeight="1" x14ac:dyDescent="0.2"/>
    <row r="40" spans="1:95" ht="12" customHeight="1" x14ac:dyDescent="0.2"/>
    <row r="41" spans="1:95" ht="12" customHeight="1" x14ac:dyDescent="0.2"/>
    <row r="42" spans="1:95" ht="12" customHeight="1" x14ac:dyDescent="0.2"/>
    <row r="43" spans="1:95" ht="12" customHeight="1" x14ac:dyDescent="0.2"/>
    <row r="44" spans="1:95" ht="12" customHeight="1" x14ac:dyDescent="0.2"/>
    <row r="45" spans="1:95" ht="12" customHeight="1" x14ac:dyDescent="0.2"/>
    <row r="46" spans="1:95" ht="12" customHeight="1" x14ac:dyDescent="0.2"/>
    <row r="47" spans="1:95" ht="12" customHeight="1" x14ac:dyDescent="0.2"/>
    <row r="48" spans="1:95" ht="12" customHeight="1" x14ac:dyDescent="0.2"/>
    <row r="49" ht="12" customHeight="1" x14ac:dyDescent="0.2"/>
    <row r="50" ht="12" customHeight="1" x14ac:dyDescent="0.2"/>
    <row r="51" ht="12" customHeight="1" x14ac:dyDescent="0.2"/>
    <row r="52" ht="12" customHeight="1" x14ac:dyDescent="0.2"/>
    <row r="53" ht="12" customHeight="1" x14ac:dyDescent="0.2"/>
    <row r="54" ht="12" customHeight="1" x14ac:dyDescent="0.2"/>
    <row r="55" ht="12" customHeight="1" x14ac:dyDescent="0.2"/>
    <row r="56" ht="12" customHeight="1" x14ac:dyDescent="0.2"/>
    <row r="57" ht="12" customHeight="1" x14ac:dyDescent="0.2"/>
    <row r="58" ht="12" customHeight="1" x14ac:dyDescent="0.2"/>
    <row r="59" ht="12" customHeight="1" x14ac:dyDescent="0.2"/>
    <row r="60" ht="12" customHeight="1" x14ac:dyDescent="0.2"/>
    <row r="61" ht="12" customHeight="1" x14ac:dyDescent="0.2"/>
    <row r="62" ht="12" customHeight="1" x14ac:dyDescent="0.2"/>
    <row r="63" ht="12" customHeight="1" x14ac:dyDescent="0.2"/>
    <row r="64" ht="12" customHeight="1" x14ac:dyDescent="0.2"/>
    <row r="65" ht="12" customHeight="1" x14ac:dyDescent="0.2"/>
    <row r="66" ht="12" customHeight="1" x14ac:dyDescent="0.2"/>
    <row r="67" ht="12" customHeight="1" x14ac:dyDescent="0.2"/>
    <row r="68" ht="12" customHeight="1" x14ac:dyDescent="0.2"/>
    <row r="69" ht="12" customHeight="1" x14ac:dyDescent="0.2"/>
    <row r="70" ht="12" customHeight="1" x14ac:dyDescent="0.2"/>
    <row r="71" ht="12" customHeight="1" x14ac:dyDescent="0.2"/>
    <row r="72" ht="12" customHeight="1" x14ac:dyDescent="0.2"/>
    <row r="73" ht="12" customHeight="1" x14ac:dyDescent="0.2"/>
    <row r="74" ht="12" customHeight="1" x14ac:dyDescent="0.2"/>
    <row r="75" ht="12" customHeight="1" x14ac:dyDescent="0.2"/>
    <row r="77" ht="12" customHeight="1" x14ac:dyDescent="0.2"/>
  </sheetData>
  <conditionalFormatting sqref="Y20">
    <cfRule type="expression" dxfId="443" priority="715">
      <formula>MOD(ROW(),2)=1</formula>
    </cfRule>
  </conditionalFormatting>
  <conditionalFormatting sqref="Y24">
    <cfRule type="expression" dxfId="442" priority="714">
      <formula>MOD(ROW(),2)=1</formula>
    </cfRule>
  </conditionalFormatting>
  <conditionalFormatting sqref="Y28">
    <cfRule type="expression" dxfId="441" priority="713">
      <formula>MOD(ROW(),2)=1</formula>
    </cfRule>
  </conditionalFormatting>
  <conditionalFormatting sqref="Y32">
    <cfRule type="expression" dxfId="440" priority="712">
      <formula>MOD(ROW(),2)=1</formula>
    </cfRule>
  </conditionalFormatting>
  <conditionalFormatting sqref="W20">
    <cfRule type="expression" dxfId="439" priority="405">
      <formula>MOD(ROW(),2)=1</formula>
    </cfRule>
  </conditionalFormatting>
  <conditionalFormatting sqref="W24">
    <cfRule type="expression" dxfId="438" priority="404">
      <formula>MOD(ROW(),2)=1</formula>
    </cfRule>
  </conditionalFormatting>
  <conditionalFormatting sqref="W28">
    <cfRule type="expression" dxfId="437" priority="403">
      <formula>MOD(ROW(),2)=1</formula>
    </cfRule>
  </conditionalFormatting>
  <conditionalFormatting sqref="W32">
    <cfRule type="expression" dxfId="436" priority="402">
      <formula>MOD(ROW(),2)=1</formula>
    </cfRule>
  </conditionalFormatting>
  <conditionalFormatting sqref="AC4 AC6 AC8 AC10 AC12 AC14 AC16 AG16 AG14 AG12 AG10 AG8 AG6 AG4">
    <cfRule type="expression" dxfId="435" priority="141">
      <formula>MOD(ROW(),2)=1</formula>
    </cfRule>
  </conditionalFormatting>
  <conditionalFormatting sqref="AD12 AD14 AD16">
    <cfRule type="expression" dxfId="434" priority="132">
      <formula>MOD(ROW(),2)=1</formula>
    </cfRule>
  </conditionalFormatting>
  <conditionalFormatting sqref="Y4">
    <cfRule type="expression" dxfId="433" priority="119">
      <formula>MOD(ROW(),2)=1</formula>
    </cfRule>
  </conditionalFormatting>
  <conditionalFormatting sqref="Y8">
    <cfRule type="expression" dxfId="432" priority="118">
      <formula>MOD(ROW(),2)=1</formula>
    </cfRule>
  </conditionalFormatting>
  <conditionalFormatting sqref="Y12">
    <cfRule type="expression" dxfId="431" priority="117">
      <formula>MOD(ROW(),2)=1</formula>
    </cfRule>
  </conditionalFormatting>
  <conditionalFormatting sqref="Y16">
    <cfRule type="expression" dxfId="430" priority="116">
      <formula>MOD(ROW(),2)=1</formula>
    </cfRule>
  </conditionalFormatting>
  <conditionalFormatting sqref="W4">
    <cfRule type="expression" dxfId="429" priority="98">
      <formula>MOD(ROW(),2)=1</formula>
    </cfRule>
  </conditionalFormatting>
  <conditionalFormatting sqref="W8">
    <cfRule type="expression" dxfId="428" priority="97">
      <formula>MOD(ROW(),2)=1</formula>
    </cfRule>
  </conditionalFormatting>
  <conditionalFormatting sqref="W12">
    <cfRule type="expression" dxfId="427" priority="96">
      <formula>MOD(ROW(),2)=1</formula>
    </cfRule>
  </conditionalFormatting>
  <conditionalFormatting sqref="W16">
    <cfRule type="expression" dxfId="426" priority="95">
      <formula>MOD(ROW(),2)=1</formula>
    </cfRule>
  </conditionalFormatting>
  <conditionalFormatting sqref="U4">
    <cfRule type="expression" dxfId="425" priority="76">
      <formula>MOD(ROW(),2)=1</formula>
    </cfRule>
  </conditionalFormatting>
  <conditionalFormatting sqref="U10 U12 U8">
    <cfRule type="expression" dxfId="424" priority="75">
      <formula>MOD(ROW(),2)=1</formula>
    </cfRule>
  </conditionalFormatting>
  <conditionalFormatting sqref="U16">
    <cfRule type="expression" dxfId="423" priority="74">
      <formula>MOD(ROW(),2)=1</formula>
    </cfRule>
  </conditionalFormatting>
  <conditionalFormatting sqref="AC2 AG2">
    <cfRule type="expression" dxfId="422" priority="60">
      <formula>MOD(ROW(),2)=1</formula>
    </cfRule>
  </conditionalFormatting>
  <conditionalFormatting sqref="Y2">
    <cfRule type="expression" dxfId="421" priority="59">
      <formula>MOD(ROW(),2)=1</formula>
    </cfRule>
  </conditionalFormatting>
  <conditionalFormatting sqref="W2">
    <cfRule type="expression" dxfId="420" priority="58">
      <formula>MOD(ROW(),2)=1</formula>
    </cfRule>
  </conditionalFormatting>
  <conditionalFormatting sqref="U2">
    <cfRule type="expression" dxfId="419" priority="21">
      <formula>MOD(ROW(),2)=1</formula>
    </cfRule>
  </conditionalFormatting>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61"/>
  <sheetViews>
    <sheetView workbookViewId="0">
      <pane ySplit="1" topLeftCell="A2" activePane="bottomLeft" state="frozen"/>
      <selection pane="bottomLeft"/>
    </sheetView>
  </sheetViews>
  <sheetFormatPr defaultColWidth="5.28515625" defaultRowHeight="12" customHeight="1" outlineLevelCol="1" x14ac:dyDescent="0.2"/>
  <cols>
    <col min="1" max="1" width="11.28515625" style="33" bestFit="1" customWidth="1"/>
    <col min="2" max="2" width="9.7109375" style="10" customWidth="1"/>
    <col min="3" max="3" width="17.85546875" style="10" customWidth="1"/>
    <col min="4" max="4" width="6.85546875" style="36" customWidth="1"/>
    <col min="5" max="5" width="4.28515625" style="42" customWidth="1"/>
    <col min="6" max="6" width="10.28515625" style="36" bestFit="1" customWidth="1"/>
    <col min="7" max="7" width="9.28515625" style="36" customWidth="1"/>
    <col min="8" max="8" width="14.85546875" style="36" bestFit="1" customWidth="1"/>
    <col min="9" max="9" width="30.5703125" style="36" customWidth="1"/>
    <col min="10" max="10" width="17.5703125" style="36" customWidth="1"/>
    <col min="11" max="11" width="9.5703125" style="36" customWidth="1"/>
    <col min="12" max="13" width="9.7109375" style="36" customWidth="1"/>
    <col min="14" max="14" width="13.85546875" style="36" customWidth="1"/>
    <col min="15" max="15" width="8.7109375" style="36" customWidth="1"/>
    <col min="16" max="16" width="22.7109375" style="36" bestFit="1" customWidth="1"/>
    <col min="17" max="17" width="18.28515625" style="36" bestFit="1" customWidth="1"/>
    <col min="18" max="18" width="8.7109375" style="36" bestFit="1" customWidth="1"/>
    <col min="19" max="19" width="11.42578125" style="36" bestFit="1" customWidth="1"/>
    <col min="20" max="20" width="12.7109375" style="36" customWidth="1"/>
    <col min="21" max="21" width="10.42578125" style="36" bestFit="1" customWidth="1"/>
    <col min="22" max="22" width="10.42578125" style="36" customWidth="1"/>
    <col min="23" max="23" width="11.85546875" style="36" customWidth="1"/>
    <col min="24" max="24" width="8.140625" style="36" customWidth="1"/>
    <col min="25" max="25" width="10" style="42" customWidth="1"/>
    <col min="26" max="26" width="15.42578125" style="36" customWidth="1"/>
    <col min="27" max="27" width="11" style="36" customWidth="1"/>
    <col min="28" max="28" width="16.42578125" style="36" customWidth="1"/>
    <col min="29" max="29" width="13.5703125" style="36" customWidth="1"/>
    <col min="30" max="30" width="13.140625" style="36" customWidth="1"/>
    <col min="31" max="31" width="11" style="36" customWidth="1"/>
    <col min="32" max="32" width="12.5703125" style="46" customWidth="1"/>
    <col min="33" max="33" width="10.140625" style="29" customWidth="1"/>
    <col min="34" max="34" width="10.7109375" style="8" customWidth="1"/>
    <col min="35" max="35" width="10.7109375" style="29" customWidth="1"/>
    <col min="36" max="36" width="10.7109375" style="54" customWidth="1"/>
    <col min="37" max="40" width="10.7109375" style="29" customWidth="1"/>
    <col min="41" max="43" width="10.7109375" style="29" customWidth="1" outlineLevel="1"/>
    <col min="44" max="44" width="16.85546875" style="54" customWidth="1" outlineLevel="1"/>
    <col min="45" max="46" width="16.85546875" style="29" customWidth="1" outlineLevel="1"/>
    <col min="47" max="47" width="5.28515625" style="8" outlineLevel="1"/>
    <col min="48" max="50" width="13.42578125" style="23" bestFit="1" customWidth="1" outlineLevel="1"/>
    <col min="51" max="51" width="14.85546875" style="23" bestFit="1" customWidth="1" outlineLevel="1"/>
    <col min="52" max="53" width="14.5703125" style="23" bestFit="1" customWidth="1"/>
    <col min="54" max="54" width="13.5703125" style="23" bestFit="1" customWidth="1"/>
    <col min="55" max="57" width="13.5703125" style="16" bestFit="1" customWidth="1"/>
    <col min="58" max="62" width="12.42578125" style="16" bestFit="1" customWidth="1"/>
    <col min="63" max="74" width="10.42578125" style="16" bestFit="1" customWidth="1"/>
    <col min="75" max="95" width="11.42578125" style="16" bestFit="1" customWidth="1"/>
    <col min="96" max="99" width="12.42578125" style="10" bestFit="1" customWidth="1"/>
    <col min="100" max="133" width="10.42578125" style="10" bestFit="1" customWidth="1"/>
    <col min="134" max="16384" width="5.28515625" style="10"/>
  </cols>
  <sheetData>
    <row r="1" spans="1:99" ht="12" customHeight="1" x14ac:dyDescent="0.2">
      <c r="A1" s="33" t="s">
        <v>81</v>
      </c>
      <c r="B1" s="11" t="s">
        <v>0</v>
      </c>
      <c r="C1" s="11" t="s">
        <v>1</v>
      </c>
      <c r="D1" s="31" t="s">
        <v>2</v>
      </c>
      <c r="E1" s="40" t="s">
        <v>131</v>
      </c>
      <c r="F1" s="31" t="s">
        <v>6</v>
      </c>
      <c r="G1" s="31" t="s">
        <v>110</v>
      </c>
      <c r="H1" s="31" t="s">
        <v>1</v>
      </c>
      <c r="I1" s="31" t="s">
        <v>8</v>
      </c>
      <c r="J1" s="31" t="s">
        <v>7</v>
      </c>
      <c r="K1" s="31" t="s">
        <v>127</v>
      </c>
      <c r="L1" s="31" t="s">
        <v>122</v>
      </c>
      <c r="M1" s="31" t="s">
        <v>125</v>
      </c>
      <c r="N1" s="31" t="s">
        <v>123</v>
      </c>
      <c r="O1" s="31" t="s">
        <v>5</v>
      </c>
      <c r="P1" s="31" t="s">
        <v>126</v>
      </c>
      <c r="Q1" s="31" t="s">
        <v>3</v>
      </c>
      <c r="R1" s="31" t="s">
        <v>124</v>
      </c>
      <c r="S1" s="31" t="s">
        <v>4</v>
      </c>
      <c r="T1" s="31" t="s">
        <v>68</v>
      </c>
      <c r="U1" s="31" t="s">
        <v>165</v>
      </c>
      <c r="V1" s="31" t="s">
        <v>120</v>
      </c>
      <c r="W1" s="31" t="s">
        <v>121</v>
      </c>
      <c r="X1" s="31" t="s">
        <v>128</v>
      </c>
      <c r="Y1" s="40" t="s">
        <v>117</v>
      </c>
      <c r="Z1" s="31" t="s">
        <v>129</v>
      </c>
      <c r="AA1" s="31" t="s">
        <v>87</v>
      </c>
      <c r="AB1" s="31" t="s">
        <v>85</v>
      </c>
      <c r="AC1" s="31" t="s">
        <v>86</v>
      </c>
      <c r="AD1" s="31" t="s">
        <v>130</v>
      </c>
      <c r="AE1" s="31" t="s">
        <v>118</v>
      </c>
      <c r="AF1" s="44" t="s">
        <v>119</v>
      </c>
      <c r="AG1" s="27" t="s">
        <v>114</v>
      </c>
      <c r="AH1" s="4"/>
      <c r="AI1" s="58" t="s">
        <v>76</v>
      </c>
      <c r="AJ1" s="52" t="s">
        <v>74</v>
      </c>
      <c r="AK1" s="27" t="s">
        <v>9</v>
      </c>
      <c r="AL1" s="58" t="s">
        <v>77</v>
      </c>
      <c r="AM1" s="27" t="s">
        <v>10</v>
      </c>
      <c r="AN1" s="27" t="s">
        <v>11</v>
      </c>
      <c r="AO1" s="58" t="s">
        <v>162</v>
      </c>
      <c r="AP1" s="27" t="s">
        <v>80</v>
      </c>
      <c r="AQ1" s="58" t="s">
        <v>163</v>
      </c>
      <c r="AR1" s="52" t="s">
        <v>78</v>
      </c>
      <c r="AS1" s="58" t="s">
        <v>164</v>
      </c>
      <c r="AT1" s="27" t="s">
        <v>79</v>
      </c>
      <c r="AU1" s="4"/>
      <c r="AV1" s="7" t="s">
        <v>75</v>
      </c>
      <c r="AW1" s="7"/>
      <c r="AX1" s="7"/>
      <c r="AY1" s="7"/>
      <c r="AZ1" s="7"/>
      <c r="BA1" s="7"/>
      <c r="BB1" s="7"/>
      <c r="BC1" s="6"/>
      <c r="BD1" s="6"/>
      <c r="BE1" s="6"/>
      <c r="BF1" s="6"/>
      <c r="BG1" s="6"/>
      <c r="BH1" s="6"/>
      <c r="BI1" s="6"/>
      <c r="BJ1" s="6"/>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11"/>
      <c r="CS1" s="11"/>
      <c r="CT1" s="11"/>
      <c r="CU1" s="11"/>
    </row>
    <row r="2" spans="1:99" s="9" customFormat="1" ht="12" customHeight="1" x14ac:dyDescent="0.2">
      <c r="A2" s="37">
        <v>43509</v>
      </c>
      <c r="B2" s="1"/>
      <c r="C2" s="1"/>
      <c r="D2" s="32"/>
      <c r="E2" s="41"/>
      <c r="F2" s="32"/>
      <c r="G2" s="32"/>
      <c r="H2" s="33"/>
      <c r="I2" s="32"/>
      <c r="J2" s="32"/>
      <c r="K2" s="36"/>
      <c r="L2" s="36"/>
      <c r="M2" s="32"/>
      <c r="N2" s="32"/>
      <c r="O2" s="32"/>
      <c r="P2" s="32"/>
      <c r="Q2" s="32"/>
      <c r="R2" s="32"/>
      <c r="S2" s="32"/>
      <c r="T2" s="32"/>
      <c r="U2" s="32"/>
      <c r="V2" s="32"/>
      <c r="W2" s="32"/>
      <c r="X2" s="32"/>
      <c r="Y2" s="41"/>
      <c r="Z2" s="32"/>
      <c r="AA2" s="32"/>
      <c r="AB2" s="32"/>
      <c r="AC2" s="32"/>
      <c r="AD2" s="32"/>
      <c r="AE2" s="32"/>
      <c r="AF2" s="45"/>
      <c r="AG2" s="28"/>
      <c r="AH2" s="4"/>
      <c r="AI2" s="28"/>
      <c r="AJ2" s="51"/>
      <c r="AK2" s="28"/>
      <c r="AL2" s="28"/>
      <c r="AM2" s="28"/>
      <c r="AN2" s="28"/>
      <c r="AO2" s="28"/>
      <c r="AP2" s="28"/>
      <c r="AQ2" s="28"/>
      <c r="AR2" s="51"/>
      <c r="AS2" s="28"/>
      <c r="AT2" s="28"/>
      <c r="AU2" s="4"/>
      <c r="AV2" s="18">
        <v>60</v>
      </c>
      <c r="AW2" s="18">
        <v>86400</v>
      </c>
      <c r="AX2" s="18">
        <v>259200</v>
      </c>
      <c r="AY2" s="18">
        <v>604800</v>
      </c>
      <c r="AZ2" s="18">
        <v>1209600</v>
      </c>
      <c r="BA2" s="18">
        <v>2419200</v>
      </c>
      <c r="BB2" s="18">
        <v>3628800</v>
      </c>
      <c r="BC2" s="18">
        <v>4838400</v>
      </c>
      <c r="BD2" s="18">
        <v>7257600</v>
      </c>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1"/>
      <c r="CS2" s="1"/>
      <c r="CT2" s="1"/>
      <c r="CU2" s="1"/>
    </row>
    <row r="3" spans="1:99" s="9" customFormat="1" ht="12" customHeight="1" x14ac:dyDescent="0.2">
      <c r="A3" s="37">
        <v>43509</v>
      </c>
      <c r="B3" s="1" t="s">
        <v>108</v>
      </c>
      <c r="C3" s="1" t="s">
        <v>42</v>
      </c>
      <c r="D3" s="32">
        <v>2019</v>
      </c>
      <c r="E3" s="41">
        <v>2</v>
      </c>
      <c r="F3" s="32">
        <v>144</v>
      </c>
      <c r="G3" s="32">
        <v>16</v>
      </c>
      <c r="H3" s="32" t="s">
        <v>16</v>
      </c>
      <c r="I3" s="32"/>
      <c r="J3" s="32" t="s">
        <v>109</v>
      </c>
      <c r="K3" s="32">
        <f>IF(J3="syllables",1,IF(J3="trigrams",2,IF(J3="strings",3,IF(J3="visual array",4,IF(J3="characters",5,IF(J3="letters",6,IF(J3="free forms",7,IF(J3="odors",8,IF(J3="words",9,IF(J3="pictures",10,IF(J3="object pictures",11,IF(J3="faces",12,IF(J3="names",13,IF(J3="idioms",14,IF(J3="grades",15,IF(J3="syllable-digit pairs",16,IF(J3="trigram-word pairs",17,IF(J3="word-digit pairs",18,IF(J3="English-Swahili pairs",19,IF(J3="spatial position",20,IF(J3="word pairs",21,IF(J3="word triads",22,IF(J3="generated words",23,IF(J3="word definition pairs",24,IF(J3="math problems",25,IF(J3="famous faces",26,IF(J3="famous names",27,IF(J3="famous voices",28,IF(J3="television programs",29,IF(J3="race horses",30,IF(J3="new vocabulary",31,IF(J3="sentences",32,IF(J3="concepts",33,IF(J3="ad slides",34,IF(J3="scenes",35,IF(J3="famous scenes",36,IF(J3="poems",37,IF(J3="walk",38,IF(J3="faces and events",39,IF(J3="events and names",40,IF(J3="flashbulb",41,IF(J3="stories",42,IF(J3="course material",43,IF(J3="autobiographical",44,IF(J3="novels",45,IF(J3="public events",46,"99"))))))))))))))))))))))))))))))))))))))))))))))</f>
        <v>32</v>
      </c>
      <c r="L3" s="32">
        <f>IF(J3="syllables",1,IF(J3="trigrams",1,IF(J3="strings",1,IF(J3="visual array",1,IF(J3="characters",1,IF(J3="letters",1,IF(J3="free forms",1,IF(J3="odors",2,IF(J3="words",2,IF(J3="pictures",2,IF(J3="object pictures",2,IF(J3="faces",2,IF(J3="names",2,IF(J3="idioms","2",IF(J3="grades",2,IF(J3="syllable-digit pairs",3,IF(J3="trigram-word pairs",3,IF(J3="word-digit pairs",3,IF(J3="English-Swahili pairs",3,IF(J3="spatial position",3,IF(J3="word pairs",4,IF(J3="word triads",4,IF(J3="generated words",4,IF(J3="word definition pairs",4,IF(J3="math problems",4,IF(J3="famous faces",4,IF(J3="famous names",4,IF(J3="famous voices",4,IF(J3="television programs",4,IF(J3="race horses",4,IF(J3="new vocabulary",4,IF(J3="sentences",5,IF(J3="concepts",5,IF(J3="ad slides",5,IF(J3="scenes",5,IF(J3="famous scenes",5,IF(J3="poems",6,IF(J3="walk",6,IF(J3="faces and events",6,IF(J3="events and names",6,IF(J3="flashbulb",7,IF(J3="stories",7,IF(J3="course material",7,IF(J3="autobiographical",7,IF(J3="novels",7,IF(J3="public events",7,"99"))))))))))))))))))))))))))))))))))))))))))))))</f>
        <v>5</v>
      </c>
      <c r="M3" s="32">
        <v>1</v>
      </c>
      <c r="N3" s="32">
        <v>4</v>
      </c>
      <c r="O3" s="32">
        <v>0</v>
      </c>
      <c r="P3" s="32"/>
      <c r="Q3" s="32" t="s">
        <v>18</v>
      </c>
      <c r="R3" s="32">
        <f>IF(Q3="Free Recall",1,IF(Q3="Cued Recall",2,IF(Q3="Recognition",3,IF(Q3="Multiple Choice",4,IF(Q3="Savings",5,IF(Q3="Stem Completion",6,IF(Q3="Fragment Completion",7,IF(Q3="anagram solution",8,IF(Q3="Matching",9,IF(Q3="Problem Solving",10,"99"))))))))))</f>
        <v>3</v>
      </c>
      <c r="S3" s="77" t="s">
        <v>196</v>
      </c>
      <c r="T3" s="32" t="s">
        <v>72</v>
      </c>
      <c r="U3" s="32">
        <f>IF(T3="within",1,0)</f>
        <v>0</v>
      </c>
      <c r="V3" s="32">
        <v>18</v>
      </c>
      <c r="W3" s="32">
        <f>F3*V3</f>
        <v>2592</v>
      </c>
      <c r="X3" s="32">
        <v>9</v>
      </c>
      <c r="Y3" s="41">
        <f>AV2</f>
        <v>60</v>
      </c>
      <c r="Z3" s="32" t="s">
        <v>61</v>
      </c>
      <c r="AA3" s="32">
        <v>7257600</v>
      </c>
      <c r="AB3" s="32" t="str">
        <f>IF(AA3&lt;60,"1",IF(AA3&lt;=43200,"2",IF(AA3&lt;=777600,"3","4")))</f>
        <v>4</v>
      </c>
      <c r="AC3" s="28">
        <f>AVERAGE(AV2:DA2)</f>
        <v>2256006.6666666665</v>
      </c>
      <c r="AD3" s="32" t="str">
        <f>IF(AC3&lt;60,"1",IF(AC3&lt;=43200,"2",IF(AC3&lt;=777600,"3","4")))</f>
        <v>4</v>
      </c>
      <c r="AE3" s="41">
        <f>AA3-Y3</f>
        <v>7257540</v>
      </c>
      <c r="AF3" s="45">
        <f>AV3</f>
        <v>7.0797721828637394</v>
      </c>
      <c r="AG3" s="28">
        <f>((AW3-AV3)+(AX3-AW3)+(AY3-AX3)+(AZ3-AY3)+(BA3-AZ3)+(BB3-BA3)+(BC3-BB3)+(BD3-BC3))/8</f>
        <v>-0.74999780108383252</v>
      </c>
      <c r="AH3" s="4"/>
      <c r="AI3" s="28">
        <f>RSQ(AV3:BD3,AV2:BD2)</f>
        <v>0.66633644111704149</v>
      </c>
      <c r="AJ3" s="51">
        <f>SLOPE(AV3:BD3,AV2:BD2)</f>
        <v>-8.2797169294862954E-7</v>
      </c>
      <c r="AK3" s="28">
        <f>INTERCEPT(AV3:BD3,AV2:BD2)</f>
        <v>5.6673881672604329</v>
      </c>
      <c r="AL3" s="28">
        <f>INDEX(LINEST(LN(AV3:BD3),LN(AV2:BD2),TRUE,TRUE),3,1)</f>
        <v>0.56314997282863155</v>
      </c>
      <c r="AM3" s="28">
        <f>INDEX(LINEST(LN(AV3:BD3),LN(AV2:BD2)),1)</f>
        <v>-0.15069728030683968</v>
      </c>
      <c r="AN3" s="28">
        <f>EXP(INDEX(LINEST(LN(AV3:BD3),LN(AV2:BD2)),1,2))</f>
        <v>21.29764758414133</v>
      </c>
      <c r="AO3" s="47">
        <f>INDEX(LINEST((AV3:BD3),LN(AV2:BD2),TRUE,TRUE),3,1)</f>
        <v>0.60082120074099554</v>
      </c>
      <c r="AP3" s="47">
        <f>INDEX(LINEST((AV3:BD3),LN(AV2:BD2)),1)</f>
        <v>-0.55119409806542385</v>
      </c>
      <c r="AQ3" s="48">
        <f>INDEX(LINEST(LN(AV3:BD3),SQRT(AV2:BD2),TRUE,TRUE),3,1)</f>
        <v>0.95276846115822034</v>
      </c>
      <c r="AR3" s="56">
        <f>INDEX(LINEST(LN(AV3:BD3),SQRT((AV2:BD2))),1)</f>
        <v>-7.6968774214040817E-4</v>
      </c>
      <c r="AS3" s="49">
        <f>INDEX(LINEST(1/(AV3:BD3),1/(SQRT(AV2:BD2)),TRUE,TRUE),3,1)</f>
        <v>0.14411627374996927</v>
      </c>
      <c r="AT3" s="49">
        <f>INDEX(LINEST(1/(AV3:BD3),1/SQRT(AV2:BD2)),1)</f>
        <v>-2.4698376543659877</v>
      </c>
      <c r="AU3" s="3"/>
      <c r="AV3" s="25">
        <v>7.0797721828637394</v>
      </c>
      <c r="AW3" s="25">
        <v>7.0797721828579299</v>
      </c>
      <c r="AX3" s="25">
        <v>7.0797721828637394</v>
      </c>
      <c r="AY3" s="25">
        <v>3.3565846363304219</v>
      </c>
      <c r="AZ3" s="25">
        <v>3.1557576315618023</v>
      </c>
      <c r="BA3" s="25">
        <v>2.1044244150878391</v>
      </c>
      <c r="BB3" s="25">
        <v>1.8525125550036416</v>
      </c>
      <c r="BC3" s="25">
        <v>1.4069210126511544</v>
      </c>
      <c r="BD3" s="25">
        <v>1.0797897741930793</v>
      </c>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1"/>
      <c r="CS3" s="1"/>
      <c r="CT3" s="1"/>
      <c r="CU3" s="1"/>
    </row>
    <row r="4" spans="1:99" s="9" customFormat="1" ht="12" customHeight="1" x14ac:dyDescent="0.2">
      <c r="A4" s="37">
        <v>43509</v>
      </c>
      <c r="B4" s="1"/>
      <c r="C4" s="1"/>
      <c r="D4" s="32"/>
      <c r="E4" s="41"/>
      <c r="F4" s="32"/>
      <c r="G4" s="32"/>
      <c r="H4" s="33"/>
      <c r="I4" s="32"/>
      <c r="J4" s="32"/>
      <c r="K4" s="36"/>
      <c r="L4" s="36"/>
      <c r="M4" s="32"/>
      <c r="N4" s="32"/>
      <c r="O4" s="32"/>
      <c r="P4" s="32"/>
      <c r="Q4" s="32"/>
      <c r="R4" s="32"/>
      <c r="S4" s="77"/>
      <c r="T4" s="32"/>
      <c r="U4" s="32"/>
      <c r="V4" s="32"/>
      <c r="W4" s="32"/>
      <c r="X4" s="32"/>
      <c r="Y4" s="41"/>
      <c r="Z4" s="32"/>
      <c r="AA4" s="32"/>
      <c r="AB4" s="32"/>
      <c r="AC4" s="32"/>
      <c r="AD4" s="32"/>
      <c r="AE4" s="32"/>
      <c r="AF4" s="45"/>
      <c r="AG4" s="28"/>
      <c r="AH4" s="4"/>
      <c r="AI4" s="28"/>
      <c r="AJ4" s="51"/>
      <c r="AK4" s="28"/>
      <c r="AL4" s="28"/>
      <c r="AM4" s="28"/>
      <c r="AN4" s="28"/>
      <c r="AO4" s="28"/>
      <c r="AP4" s="28"/>
      <c r="AQ4" s="47"/>
      <c r="AR4" s="55"/>
      <c r="AS4" s="47"/>
      <c r="AT4" s="47"/>
      <c r="AU4" s="4"/>
      <c r="AV4" s="18">
        <v>60</v>
      </c>
      <c r="AW4" s="18">
        <v>86400</v>
      </c>
      <c r="AX4" s="18">
        <v>259200</v>
      </c>
      <c r="AY4" s="18">
        <v>604800</v>
      </c>
      <c r="AZ4" s="18">
        <v>864000</v>
      </c>
      <c r="BA4" s="18">
        <v>1209600</v>
      </c>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1"/>
      <c r="CS4" s="1"/>
      <c r="CT4" s="1"/>
      <c r="CU4" s="1"/>
    </row>
    <row r="5" spans="1:99" s="9" customFormat="1" ht="12" customHeight="1" x14ac:dyDescent="0.2">
      <c r="A5" s="37">
        <v>43509</v>
      </c>
      <c r="B5" s="1" t="s">
        <v>108</v>
      </c>
      <c r="C5" s="1" t="s">
        <v>42</v>
      </c>
      <c r="D5" s="32">
        <v>2019</v>
      </c>
      <c r="E5" s="41">
        <v>3</v>
      </c>
      <c r="F5" s="32">
        <v>144</v>
      </c>
      <c r="G5" s="32">
        <v>24</v>
      </c>
      <c r="H5" s="32" t="s">
        <v>13</v>
      </c>
      <c r="I5" s="32"/>
      <c r="J5" s="32" t="s">
        <v>84</v>
      </c>
      <c r="K5" s="32">
        <f>IF(J5="syllables",1,IF(J5="trigrams",2,IF(J5="strings",3,IF(J5="visual array",4,IF(J5="characters",5,IF(J5="letters",6,IF(J5="free forms",7,IF(J5="odors",8,IF(J5="words",9,IF(J5="pictures",10,IF(J5="object pictures",11,IF(J5="faces",12,IF(J5="names",13,IF(J5="idioms",14,IF(J5="grades",15,IF(J5="syllable-digit pairs",16,IF(J5="trigram-word pairs",17,IF(J5="word-digit pairs",18,IF(J5="English-Swahili pairs",19,IF(J5="spatial position",20,IF(J5="word pairs",21,IF(J5="word triads",22,IF(J5="generated words",23,IF(J5="word definition pairs",24,IF(J5="math problems",25,IF(J5="famous faces",26,IF(J5="famous names",27,IF(J5="famous voices",28,IF(J5="television programs",29,IF(J5="race horses",30,IF(J5="new vocabulary",31,IF(J5="sentences",32,IF(J5="concepts",33,IF(J5="ad slides",34,IF(J5="scenes",35,IF(J5="famous scenes",36,IF(J5="poems",37,IF(J5="walk",38,IF(J5="faces and events",39,IF(J5="events and names",40,IF(J5="flashbulb",41,IF(J5="stories",42,IF(J5="course material",43,IF(J5="autobiographical",44,IF(J5="novels",45,IF(J5="public events",46,"99"))))))))))))))))))))))))))))))))))))))))))))))</f>
        <v>21</v>
      </c>
      <c r="L5" s="32">
        <f>IF(J5="syllables",1,IF(J5="trigrams",1,IF(J5="strings",1,IF(J5="visual array",1,IF(J5="characters",1,IF(J5="letters",1,IF(J5="free forms",1,IF(J5="odors",2,IF(J5="words",2,IF(J5="pictures",2,IF(J5="object pictures",2,IF(J5="faces",2,IF(J5="names",2,IF(J5="idioms","2",IF(J5="grades",2,IF(J5="syllable-digit pairs",3,IF(J5="trigram-word pairs",3,IF(J5="word-digit pairs",3,IF(J5="English-Swahili pairs",3,IF(J5="spatial position",3,IF(J5="word pairs",4,IF(J5="word triads",4,IF(J5="generated words",4,IF(J5="word definition pairs",4,IF(J5="math problems",4,IF(J5="famous faces",4,IF(J5="famous names",4,IF(J5="famous voices",4,IF(J5="television programs",4,IF(J5="race horses",4,IF(J5="new vocabulary",4,IF(J5="sentences",5,IF(J5="concepts",5,IF(J5="ad slides",5,IF(J5="scenes",5,IF(J5="famous scenes",5,IF(J5="poems",6,IF(J5="walk",6,IF(J5="faces and events",6,IF(J5="events and names",6,IF(J5="flashbulb",7,IF(J5="stories",7,IF(J5="course material",7,IF(J5="autobiographical",7,IF(J5="novels",7,IF(J5="public events",7,"99"))))))))))))))))))))))))))))))))))))))))))))))</f>
        <v>4</v>
      </c>
      <c r="M5" s="32">
        <v>1</v>
      </c>
      <c r="N5" s="32">
        <v>4</v>
      </c>
      <c r="O5" s="32">
        <v>0</v>
      </c>
      <c r="P5" s="32"/>
      <c r="Q5" s="32" t="s">
        <v>18</v>
      </c>
      <c r="R5" s="32">
        <f>IF(Q5="Free Recall",1,IF(Q5="Cued Recall",2,IF(Q5="Recognition",3,IF(Q5="Multiple Choice",4,IF(Q5="Savings",5,IF(Q5="Stem Completion",6,IF(Q5="Fragment Completion",7,IF(Q5="anagram solution",8,IF(Q5="Matching",9,IF(Q5="Problem Solving",10,"99"))))))))))</f>
        <v>3</v>
      </c>
      <c r="S5" s="77" t="s">
        <v>196</v>
      </c>
      <c r="T5" s="32" t="s">
        <v>72</v>
      </c>
      <c r="U5" s="32">
        <f>IF(T5="within",1,0)</f>
        <v>0</v>
      </c>
      <c r="V5" s="32">
        <v>18</v>
      </c>
      <c r="W5" s="32">
        <f>F5*V5</f>
        <v>2592</v>
      </c>
      <c r="X5" s="32">
        <v>6</v>
      </c>
      <c r="Y5" s="41">
        <f>AV4</f>
        <v>60</v>
      </c>
      <c r="Z5" s="32" t="s">
        <v>59</v>
      </c>
      <c r="AA5" s="32">
        <f>14*24*2600</f>
        <v>873600</v>
      </c>
      <c r="AB5" s="32" t="str">
        <f>IF(AA5&lt;60,"1",IF(AA5&lt;=43200,"2",IF(AA5&lt;=777600,"3","4")))</f>
        <v>4</v>
      </c>
      <c r="AC5" s="28">
        <f>AVERAGE(AV4:DA4)</f>
        <v>504010</v>
      </c>
      <c r="AD5" s="32" t="str">
        <f>IF(AC5&lt;60,"1",IF(AC5&lt;=43200,"2",IF(AC5&lt;=777600,"3","4")))</f>
        <v>3</v>
      </c>
      <c r="AE5" s="41">
        <f>AA5-Y5</f>
        <v>873540</v>
      </c>
      <c r="AF5" s="45">
        <f>AV5</f>
        <v>3.6741087245461443</v>
      </c>
      <c r="AG5" s="28">
        <f>((AW5-AV5)+(AX5-AW5)+(AY5-AX5)+(AZ5-AY5)+(BA5-AZ5))/5</f>
        <v>-0.40059539109425674</v>
      </c>
      <c r="AH5" s="4"/>
      <c r="AI5" s="28">
        <f>RSQ(AV5:BA5,AV4:BA4)</f>
        <v>0.90077278447736719</v>
      </c>
      <c r="AJ5" s="51">
        <f>SLOPE(AV5:BA5,AV4:BA4)</f>
        <v>-1.8054420807406573E-6</v>
      </c>
      <c r="AK5" s="28">
        <f>INTERCEPT(AV5:BA5,AV4:BA4)</f>
        <v>3.5004277658513585</v>
      </c>
      <c r="AL5" s="28">
        <f>INDEX(LINEST(LN(AV5:BA5),LN(AV4:BA4),TRUE,TRUE),3,1)</f>
        <v>0.52993729347359309</v>
      </c>
      <c r="AM5" s="28">
        <f>INDEX(LINEST(LN(AV5:BA5),LN(AV4:BA4)),1)</f>
        <v>-7.0295685363808869E-2</v>
      </c>
      <c r="AN5" s="28">
        <f>EXP(INDEX(LINEST(LN(AV5:BA5),LN(AV4:BA4)),1,2))</f>
        <v>5.5063841842261727</v>
      </c>
      <c r="AO5" s="47">
        <f>INDEX(LINEST((AV5:BA5),LN(AV4:BA4),TRUE,TRUE),3,1)</f>
        <v>0.58159107792402531</v>
      </c>
      <c r="AP5" s="47">
        <f>INDEX(LINEST((AV5:BA5),LN(AV4:BA4)),1)</f>
        <v>-0.18390412629261413</v>
      </c>
      <c r="AQ5" s="48">
        <f>INDEX(LINEST(LN(AV5:BA5),SQRT(AV4:BA4),TRUE,TRUE),3,1)</f>
        <v>0.9105613738701982</v>
      </c>
      <c r="AR5" s="56">
        <f>INDEX(LINEST(LN(AV5:BA5),SQRT((AV4:BA4))),1)</f>
        <v>-8.4023329650092268E-4</v>
      </c>
      <c r="AS5" s="49">
        <f>INDEX(LINEST(1/(AV5:BA5),1/(SQRT(AV4:BA4)),TRUE,TRUE),3,1)</f>
        <v>0.2721262779369808</v>
      </c>
      <c r="AT5" s="49">
        <f>INDEX(LINEST(1/(AV5:BA5),1/SQRT(AV4:BA4)),1)</f>
        <v>-1.5218572160539023</v>
      </c>
      <c r="AU5" s="3"/>
      <c r="AV5" s="25">
        <v>3.6741087245461443</v>
      </c>
      <c r="AW5" s="25">
        <v>3.3281218183605601</v>
      </c>
      <c r="AX5" s="25">
        <v>3.17893152151886</v>
      </c>
      <c r="AY5" s="25">
        <v>2.0091684539600148</v>
      </c>
      <c r="AZ5" s="25">
        <v>1.6813391289631192</v>
      </c>
      <c r="BA5" s="25">
        <v>1.6711317690748608</v>
      </c>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1"/>
      <c r="CS5" s="1"/>
      <c r="CT5" s="1"/>
      <c r="CU5" s="1"/>
    </row>
    <row r="6" spans="1:99" s="9" customFormat="1" ht="12" customHeight="1" x14ac:dyDescent="0.2">
      <c r="A6" s="37">
        <v>43509</v>
      </c>
      <c r="B6" s="1"/>
      <c r="C6" s="1"/>
      <c r="D6" s="32"/>
      <c r="E6" s="41"/>
      <c r="F6" s="32"/>
      <c r="G6" s="32"/>
      <c r="H6" s="32"/>
      <c r="I6" s="32"/>
      <c r="J6" s="32"/>
      <c r="K6" s="36"/>
      <c r="L6" s="36"/>
      <c r="M6" s="32"/>
      <c r="N6" s="32"/>
      <c r="O6" s="32"/>
      <c r="P6" s="32"/>
      <c r="Q6" s="32"/>
      <c r="R6" s="32"/>
      <c r="S6" s="32"/>
      <c r="T6" s="32"/>
      <c r="U6" s="32"/>
      <c r="V6" s="32"/>
      <c r="W6" s="32"/>
      <c r="X6" s="32"/>
      <c r="Y6" s="41"/>
      <c r="Z6" s="32"/>
      <c r="AA6" s="32"/>
      <c r="AB6" s="32"/>
      <c r="AC6" s="32"/>
      <c r="AD6" s="32"/>
      <c r="AE6" s="32"/>
      <c r="AF6" s="45"/>
      <c r="AG6" s="28"/>
      <c r="AH6" s="4"/>
      <c r="AI6" s="28"/>
      <c r="AJ6" s="51"/>
      <c r="AK6" s="28"/>
      <c r="AL6" s="28"/>
      <c r="AM6" s="28"/>
      <c r="AN6" s="28"/>
      <c r="AO6" s="28"/>
      <c r="AP6" s="28"/>
      <c r="AQ6" s="28"/>
      <c r="AR6" s="51"/>
      <c r="AS6" s="28"/>
      <c r="AT6" s="28"/>
      <c r="AU6" s="4"/>
      <c r="AV6" s="18">
        <v>40</v>
      </c>
      <c r="AW6" s="18">
        <f>24*3600</f>
        <v>86400</v>
      </c>
      <c r="AX6" s="18">
        <f>7*24*3600*1</f>
        <v>604800</v>
      </c>
      <c r="AY6" s="18">
        <f>7*24*3600*6</f>
        <v>3628800</v>
      </c>
      <c r="AZ6" s="25" t="s">
        <v>112</v>
      </c>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1"/>
      <c r="CS6" s="1"/>
      <c r="CT6" s="1"/>
      <c r="CU6" s="1"/>
    </row>
    <row r="7" spans="1:99" s="9" customFormat="1" ht="12" customHeight="1" x14ac:dyDescent="0.2">
      <c r="A7" s="37">
        <v>43509</v>
      </c>
      <c r="B7" s="1" t="s">
        <v>51</v>
      </c>
      <c r="C7" s="1" t="s">
        <v>52</v>
      </c>
      <c r="D7" s="32">
        <v>2016</v>
      </c>
      <c r="E7" s="41">
        <v>1</v>
      </c>
      <c r="F7" s="32">
        <v>95</v>
      </c>
      <c r="G7" s="32">
        <v>23.8</v>
      </c>
      <c r="H7" s="32" t="s">
        <v>143</v>
      </c>
      <c r="I7" s="32" t="s">
        <v>139</v>
      </c>
      <c r="J7" s="32" t="s">
        <v>83</v>
      </c>
      <c r="K7" s="32">
        <f>IF(J7="syllables",1,IF(J7="trigrams",2,IF(J7="strings",3,IF(J7="visual array",4,IF(J7="characters",5,IF(J7="letters",6,IF(J7="free forms",7,IF(J7="odors",8,IF(J7="words",9,IF(J7="pictures",10,IF(J7="object pictures",11,IF(J7="faces",12,IF(J7="names",13,IF(J7="idioms",14,IF(J7="grades",15,IF(J7="syllable-digit pairs",16,IF(J7="trigram-word pairs",17,IF(J7="word-digit pairs",18,IF(J7="English-Swahili pairs",19,IF(J7="spatial position",20,IF(J7="word pairs",21,IF(J7="word triads",22,IF(J7="generated words",23,IF(J7="word definition pairs",24,IF(J7="math problems",25,IF(J7="famous faces",26,IF(J7="famous names",27,IF(J7="famous voices",28,IF(J7="television programs",29,IF(J7="race horses",30,IF(J7="new vocabulary",31,IF(J7="sentences",32,IF(J7="concepts",33,IF(J7="ad slides",34,IF(J7="scenes",35,IF(J7="famous scenes",36,IF(J7="poems",37,IF(J7="walk",38,IF(J7="faces and events",39,IF(J7="events and names",40,IF(J7="flashbulb",41,IF(J7="stories",42,IF(J7="course material",43,IF(J7="autobiographical",44,IF(J7="novels",45,IF(J7="public events",46,"99"))))))))))))))))))))))))))))))))))))))))))))))</f>
        <v>7</v>
      </c>
      <c r="L7" s="32">
        <f>IF(J7="syllables",1,IF(J7="trigrams",1,IF(J7="strings",1,IF(J7="visual array",1,IF(J7="characters",1,IF(J7="letters",1,IF(J7="free forms",1,IF(J7="odors",2,IF(J7="words",2,IF(J7="pictures",2,IF(J7="object pictures",2,IF(J7="faces",2,IF(J7="names",2,IF(J7="idioms","2",IF(J7="grades",2,IF(J7="syllable-digit pairs",3,IF(J7="trigram-word pairs",3,IF(J7="word-digit pairs",3,IF(J7="English-Swahili pairs",3,IF(J7="spatial position",3,IF(J7="word pairs",4,IF(J7="word triads",4,IF(J7="generated words",4,IF(J7="word definition pairs",4,IF(J7="math problems",4,IF(J7="famous faces",4,IF(J7="famous names",4,IF(J7="famous voices",4,IF(J7="television programs",4,IF(J7="race horses",4,IF(J7="new vocabulary",4,IF(J7="sentences",5,IF(J7="concepts",5,IF(J7="ad slides",5,IF(J7="scenes",5,IF(J7="famous scenes",5,IF(J7="poems",6,IF(J7="walk",6,IF(J7="faces and events",6,IF(J7="events and names",6,IF(J7="flashbulb",7,IF(J7="stories",7,IF(J7="course material",7,IF(J7="autobiographical",7,IF(J7="novels",7,IF(J7="public events",7,"99"))))))))))))))))))))))))))))))))))))))))))))))</f>
        <v>1</v>
      </c>
      <c r="M7" s="32">
        <v>1</v>
      </c>
      <c r="N7" s="32">
        <v>2</v>
      </c>
      <c r="O7" s="32">
        <v>0</v>
      </c>
      <c r="P7" s="32"/>
      <c r="Q7" s="32" t="s">
        <v>18</v>
      </c>
      <c r="R7" s="32">
        <f>IF(Q7="Free Recall",1,IF(Q7="Cued Recall",2,IF(Q7="Recognition",3,IF(Q7="Multiple Choice",4,IF(Q7="Savings",5,IF(Q7="Stem Completion",6,IF(Q7="Fragment Completion",7,IF(Q7="anagram solution",8,IF(Q7="Matching",9,IF(Q7="Problem Solving",10,"99"))))))))))</f>
        <v>3</v>
      </c>
      <c r="S7" s="77" t="s">
        <v>196</v>
      </c>
      <c r="T7" s="32" t="s">
        <v>72</v>
      </c>
      <c r="U7" s="32">
        <f>IF(T7="within",1,0)</f>
        <v>0</v>
      </c>
      <c r="V7" s="32">
        <v>40</v>
      </c>
      <c r="W7" s="32">
        <f>F7*V7</f>
        <v>3800</v>
      </c>
      <c r="X7" s="32">
        <v>4</v>
      </c>
      <c r="Y7" s="41">
        <f>AV6</f>
        <v>40</v>
      </c>
      <c r="Z7" s="32" t="s">
        <v>53</v>
      </c>
      <c r="AA7" s="32">
        <v>3628800</v>
      </c>
      <c r="AB7" s="32" t="str">
        <f>IF(AA7&lt;60,"1",IF(AA7&lt;=43200,"2",IF(AA7&lt;=777600,"3","4")))</f>
        <v>4</v>
      </c>
      <c r="AC7" s="28">
        <f>AVERAGE(AV6:DA6)</f>
        <v>1080010</v>
      </c>
      <c r="AD7" s="32" t="str">
        <f>IF(AC7&lt;60,"1",IF(AC7&lt;=43200,"2",IF(AC7&lt;=777600,"3","4")))</f>
        <v>4</v>
      </c>
      <c r="AE7" s="41">
        <f>AA7-Y7</f>
        <v>3628760</v>
      </c>
      <c r="AF7" s="45">
        <f>AV7</f>
        <v>1.9195966439696583</v>
      </c>
      <c r="AG7" s="28">
        <f>((AW7-AV7)+(AX7-AW7)+(AY7-AX7))/3</f>
        <v>-0.12730372321219682</v>
      </c>
      <c r="AH7" s="4"/>
      <c r="AI7" s="28">
        <f>RSQ(AV7:AY7,AV6:AY6)</f>
        <v>0.95056289588139609</v>
      </c>
      <c r="AJ7" s="51">
        <f>SLOPE(AV7:AY7,AV6:AY6)</f>
        <v>-1.2107640029589467E-7</v>
      </c>
      <c r="AK7" s="28">
        <f>INTERCEPT(AV7:AY7,AV6:AY6)</f>
        <v>1.9840747002057604</v>
      </c>
      <c r="AL7" s="28">
        <f>INDEX(LINEST(LN(AV7:AY7),LN(AV6:AY6),TRUE,TRUE),3,1)</f>
        <v>0.22858481550131776</v>
      </c>
      <c r="AM7" s="28">
        <f>INDEX(LINEST(LN(AV7:AY7),LN(AV6:AY6)),1)</f>
        <v>-1.1639941262594255E-2</v>
      </c>
      <c r="AN7" s="28">
        <f>EXP(INDEX(LINEST(LN(AV7:AY7),LN(AV6:AY6)),1,2))</f>
        <v>2.091924736358671</v>
      </c>
      <c r="AO7" s="47">
        <f>INDEX(LINEST((AV7:AY7),LN(AV6:AY6),TRUE,TRUE),3,1)</f>
        <v>0.21830565619835771</v>
      </c>
      <c r="AP7" s="47">
        <f>INDEX(LINEST((AV7:AY7),LN(AV6:AY6)),1)</f>
        <v>-1.9866513539872316E-2</v>
      </c>
      <c r="AQ7" s="48">
        <f>INDEX(LINEST(LN(AV7:AY7),SQRT(AV6:AY6),TRUE,TRUE),3,1)</f>
        <v>0.81581940169749612</v>
      </c>
      <c r="AR7" s="56">
        <f>INDEX(LINEST(LN(AV7:AY7),SQRT((AV6:AY6))),1)</f>
        <v>-1.3217507778669901E-4</v>
      </c>
      <c r="AS7" s="49">
        <f>INDEX(LINEST(1/(AV7:AY7),1/(SQRT(AV6:AY6)),TRUE,TRUE),3,1)</f>
        <v>6.0284471408164064E-2</v>
      </c>
      <c r="AT7" s="49">
        <f>INDEX(LINEST(1/(AV7:AY7),1/SQRT(AV6:AY6)),1)</f>
        <v>-0.22112718545828439</v>
      </c>
      <c r="AU7" s="3"/>
      <c r="AV7" s="25">
        <v>1.9195966439696583</v>
      </c>
      <c r="AW7" s="25">
        <v>2.0078355636847913</v>
      </c>
      <c r="AX7" s="25">
        <v>1.9481262265012473</v>
      </c>
      <c r="AY7" s="25">
        <v>1.5376854743330679</v>
      </c>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1"/>
      <c r="CS7" s="1"/>
      <c r="CT7" s="1"/>
      <c r="CU7" s="1"/>
    </row>
    <row r="8" spans="1:99" s="9" customFormat="1" ht="12" customHeight="1" x14ac:dyDescent="0.2">
      <c r="A8" s="37">
        <v>43509</v>
      </c>
      <c r="B8" s="1"/>
      <c r="C8" s="1"/>
      <c r="D8" s="32"/>
      <c r="E8" s="41"/>
      <c r="F8" s="32"/>
      <c r="G8" s="32"/>
      <c r="H8" s="32"/>
      <c r="I8" s="32"/>
      <c r="J8" s="32"/>
      <c r="K8" s="36"/>
      <c r="L8" s="36"/>
      <c r="M8" s="32"/>
      <c r="N8" s="32"/>
      <c r="O8" s="32"/>
      <c r="P8" s="32"/>
      <c r="Q8" s="32"/>
      <c r="R8" s="32"/>
      <c r="S8" s="77"/>
      <c r="T8" s="32"/>
      <c r="U8" s="32"/>
      <c r="V8" s="32"/>
      <c r="W8" s="32"/>
      <c r="X8" s="32"/>
      <c r="Y8" s="41"/>
      <c r="Z8" s="32"/>
      <c r="AA8" s="32"/>
      <c r="AB8" s="32"/>
      <c r="AC8" s="32"/>
      <c r="AD8" s="32"/>
      <c r="AE8" s="32"/>
      <c r="AF8" s="45"/>
      <c r="AG8" s="28"/>
      <c r="AH8" s="4"/>
      <c r="AI8" s="28"/>
      <c r="AJ8" s="51"/>
      <c r="AK8" s="28"/>
      <c r="AL8" s="28"/>
      <c r="AM8" s="28"/>
      <c r="AN8" s="28"/>
      <c r="AO8" s="28"/>
      <c r="AP8" s="28"/>
      <c r="AQ8" s="28"/>
      <c r="AR8" s="51"/>
      <c r="AS8" s="28"/>
      <c r="AT8" s="28"/>
      <c r="AU8" s="4"/>
      <c r="AV8" s="18">
        <v>40</v>
      </c>
      <c r="AW8" s="18">
        <f>24*3600</f>
        <v>86400</v>
      </c>
      <c r="AX8" s="18">
        <f>7*24*3600*1</f>
        <v>604800</v>
      </c>
      <c r="AY8" s="18">
        <f>7*24*3600*6</f>
        <v>3628800</v>
      </c>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1"/>
      <c r="CS8" s="1"/>
      <c r="CT8" s="1"/>
      <c r="CU8" s="1"/>
    </row>
    <row r="9" spans="1:99" s="9" customFormat="1" ht="12" customHeight="1" x14ac:dyDescent="0.2">
      <c r="A9" s="37">
        <v>43509</v>
      </c>
      <c r="B9" s="1" t="s">
        <v>51</v>
      </c>
      <c r="C9" s="1" t="s">
        <v>52</v>
      </c>
      <c r="D9" s="32">
        <v>2016</v>
      </c>
      <c r="E9" s="41">
        <v>1</v>
      </c>
      <c r="F9" s="32">
        <v>95</v>
      </c>
      <c r="G9" s="32">
        <v>23.8</v>
      </c>
      <c r="H9" s="32" t="s">
        <v>143</v>
      </c>
      <c r="I9" s="32" t="s">
        <v>141</v>
      </c>
      <c r="J9" s="32" t="s">
        <v>83</v>
      </c>
      <c r="K9" s="32">
        <f>IF(J9="syllables",1,IF(J9="trigrams",2,IF(J9="strings",3,IF(J9="visual array",4,IF(J9="characters",5,IF(J9="letters",6,IF(J9="free forms",7,IF(J9="odors",8,IF(J9="words",9,IF(J9="pictures",10,IF(J9="object pictures",11,IF(J9="faces",12,IF(J9="names",13,IF(J9="idioms",14,IF(J9="grades",15,IF(J9="syllable-digit pairs",16,IF(J9="trigram-word pairs",17,IF(J9="word-digit pairs",18,IF(J9="English-Swahili pairs",19,IF(J9="spatial position",20,IF(J9="word pairs",21,IF(J9="word triads",22,IF(J9="generated words",23,IF(J9="word definition pairs",24,IF(J9="math problems",25,IF(J9="famous faces",26,IF(J9="famous names",27,IF(J9="famous voices",28,IF(J9="television programs",29,IF(J9="race horses",30,IF(J9="new vocabulary",31,IF(J9="sentences",32,IF(J9="concepts",33,IF(J9="ad slides",34,IF(J9="scenes",35,IF(J9="famous scenes",36,IF(J9="poems",37,IF(J9="walk",38,IF(J9="faces and events",39,IF(J9="events and names",40,IF(J9="flashbulb",41,IF(J9="stories",42,IF(J9="course material",43,IF(J9="autobiographical",44,IF(J9="novels",45,IF(J9="public events",46,"99"))))))))))))))))))))))))))))))))))))))))))))))</f>
        <v>7</v>
      </c>
      <c r="L9" s="32">
        <f>IF(J9="syllables",1,IF(J9="trigrams",1,IF(J9="strings",1,IF(J9="visual array",1,IF(J9="characters",1,IF(J9="letters",1,IF(J9="free forms",1,IF(J9="odors",2,IF(J9="words",2,IF(J9="pictures",2,IF(J9="object pictures",2,IF(J9="faces",2,IF(J9="names",2,IF(J9="idioms","2",IF(J9="grades",2,IF(J9="syllable-digit pairs",3,IF(J9="trigram-word pairs",3,IF(J9="word-digit pairs",3,IF(J9="English-Swahili pairs",3,IF(J9="spatial position",3,IF(J9="word pairs",4,IF(J9="word triads",4,IF(J9="generated words",4,IF(J9="word definition pairs",4,IF(J9="math problems",4,IF(J9="famous faces",4,IF(J9="famous names",4,IF(J9="famous voices",4,IF(J9="television programs",4,IF(J9="race horses",4,IF(J9="new vocabulary",4,IF(J9="sentences",5,IF(J9="concepts",5,IF(J9="ad slides",5,IF(J9="scenes",5,IF(J9="famous scenes",5,IF(J9="poems",6,IF(J9="walk",6,IF(J9="faces and events",6,IF(J9="events and names",6,IF(J9="flashbulb",7,IF(J9="stories",7,IF(J9="course material",7,IF(J9="autobiographical",7,IF(J9="novels",7,IF(J9="public events",7,"99"))))))))))))))))))))))))))))))))))))))))))))))</f>
        <v>1</v>
      </c>
      <c r="M9" s="32">
        <v>1</v>
      </c>
      <c r="N9" s="32">
        <v>2</v>
      </c>
      <c r="O9" s="32">
        <v>0</v>
      </c>
      <c r="P9" s="32"/>
      <c r="Q9" s="32" t="s">
        <v>18</v>
      </c>
      <c r="R9" s="32">
        <f>IF(Q9="Free Recall",1,IF(Q9="Cued Recall",2,IF(Q9="Recognition",3,IF(Q9="Multiple Choice",4,IF(Q9="Savings",5,IF(Q9="Stem Completion",6,IF(Q9="Fragment Completion",7,IF(Q9="anagram solution",8,IF(Q9="Matching",9,IF(Q9="Problem Solving",10,"99"))))))))))</f>
        <v>3</v>
      </c>
      <c r="S9" s="77" t="s">
        <v>196</v>
      </c>
      <c r="T9" s="32" t="s">
        <v>72</v>
      </c>
      <c r="U9" s="32">
        <f>IF(T9="within",1,0)</f>
        <v>0</v>
      </c>
      <c r="V9" s="32">
        <v>40</v>
      </c>
      <c r="W9" s="32">
        <f>F9*V9</f>
        <v>3800</v>
      </c>
      <c r="X9" s="32">
        <v>4</v>
      </c>
      <c r="Y9" s="41">
        <f>AV8</f>
        <v>40</v>
      </c>
      <c r="Z9" s="32" t="s">
        <v>53</v>
      </c>
      <c r="AA9" s="32">
        <v>3628800</v>
      </c>
      <c r="AB9" s="32" t="str">
        <f>IF(AA9&lt;60,"1",IF(AA9&lt;=43200,"2",IF(AA9&lt;=777600,"3","4")))</f>
        <v>4</v>
      </c>
      <c r="AC9" s="28">
        <f>AVERAGE(AV8:DA8)</f>
        <v>1080010</v>
      </c>
      <c r="AD9" s="32" t="str">
        <f>IF(AC9&lt;60,"1",IF(AC9&lt;=43200,"2",IF(AC9&lt;=777600,"3","4")))</f>
        <v>4</v>
      </c>
      <c r="AE9" s="41">
        <f>AA9-Y9</f>
        <v>3628760</v>
      </c>
      <c r="AF9" s="45">
        <f>AV9</f>
        <v>1.3104067414390375</v>
      </c>
      <c r="AG9" s="28">
        <f>((AW9-AV9)+(AX9-AW9)+(AY9-AX9))/3</f>
        <v>-0.24194432179366834</v>
      </c>
      <c r="AH9" s="4"/>
      <c r="AI9" s="28">
        <f>RSQ(AV9:AY9,AV8:AY8)</f>
        <v>0.95306447815717266</v>
      </c>
      <c r="AJ9" s="51">
        <f>SLOPE(AV9:AY9,AV8:AY8)</f>
        <v>-1.8675118267387848E-7</v>
      </c>
      <c r="AK9" s="28">
        <f>INTERCEPT(AV9:AY9,AV8:AY8)</f>
        <v>1.2708902108052862</v>
      </c>
      <c r="AL9" s="28">
        <f>INDEX(LINEST(LN(AV9:AY9),LN(AV8:AY8),TRUE,TRUE),3,1)</f>
        <v>0.41677189928457387</v>
      </c>
      <c r="AM9" s="28">
        <f>INDEX(LINEST(LN(AV9:AY9),LN(AV8:AY8)),1)</f>
        <v>-4.8192523586078895E-2</v>
      </c>
      <c r="AN9" s="28">
        <f>EXP(INDEX(LINEST(LN(AV9:AY9),LN(AV8:AY8)),1,2))</f>
        <v>1.7234008942745653</v>
      </c>
      <c r="AO9" s="47">
        <f>INDEX(LINEST((AV9:AY9),LN(AV8:AY8),TRUE,TRUE),3,1)</f>
        <v>0.45992475396197069</v>
      </c>
      <c r="AP9" s="47">
        <f>INDEX(LINEST((AV9:AY9),LN(AV8:AY8)),1)</f>
        <v>-4.441868564697083E-2</v>
      </c>
      <c r="AQ9" s="48">
        <f>INDEX(LINEST(LN(AV9:AY9),SQRT(AV8:AY8),TRUE,TRUE),3,1)</f>
        <v>0.88017662671477215</v>
      </c>
      <c r="AR9" s="56">
        <f>INDEX(LINEST(LN(AV9:AY9),SQRT((AV8:AY8))),1)</f>
        <v>-4.2095999907145669E-4</v>
      </c>
      <c r="AS9" s="49">
        <f>INDEX(LINEST(1/(AV9:AY9),1/(SQRT(AV8:AY8)),TRUE,TRUE),3,1)</f>
        <v>0.17448100483286694</v>
      </c>
      <c r="AT9" s="49">
        <f>INDEX(LINEST(1/(AV9:AY9),1/SQRT(AV8:AY8)),1)</f>
        <v>-2.4032161006600474</v>
      </c>
      <c r="AU9" s="3"/>
      <c r="AV9" s="25">
        <v>1.3104067414390375</v>
      </c>
      <c r="AW9" s="25">
        <v>1.1582831230007855</v>
      </c>
      <c r="AX9" s="25">
        <v>1.2235246235248269</v>
      </c>
      <c r="AY9" s="25">
        <v>0.5845737760580324</v>
      </c>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1"/>
      <c r="CS9" s="1"/>
      <c r="CT9" s="1"/>
      <c r="CU9" s="1"/>
    </row>
    <row r="10" spans="1:99" s="15" customFormat="1" ht="12" customHeight="1" x14ac:dyDescent="0.2">
      <c r="A10" s="37">
        <v>43509</v>
      </c>
      <c r="B10" s="13"/>
      <c r="C10" s="13"/>
      <c r="D10" s="34"/>
      <c r="E10" s="43"/>
      <c r="F10" s="34"/>
      <c r="G10" s="34"/>
      <c r="H10" s="34"/>
      <c r="I10" s="34"/>
      <c r="J10" s="34"/>
      <c r="K10" s="36"/>
      <c r="L10" s="36"/>
      <c r="M10" s="34"/>
      <c r="N10" s="34"/>
      <c r="O10" s="34"/>
      <c r="P10" s="34"/>
      <c r="Q10" s="34"/>
      <c r="R10" s="32"/>
      <c r="S10" s="34"/>
      <c r="T10" s="34"/>
      <c r="U10" s="32"/>
      <c r="V10" s="34"/>
      <c r="W10" s="32"/>
      <c r="X10" s="34"/>
      <c r="Y10" s="41"/>
      <c r="Z10" s="34"/>
      <c r="AA10" s="34"/>
      <c r="AB10" s="32"/>
      <c r="AC10" s="32"/>
      <c r="AD10" s="32"/>
      <c r="AE10" s="32"/>
      <c r="AF10" s="45"/>
      <c r="AG10" s="28"/>
      <c r="AH10" s="4"/>
      <c r="AI10" s="50"/>
      <c r="AJ10" s="53"/>
      <c r="AK10" s="50"/>
      <c r="AL10" s="50"/>
      <c r="AM10" s="50"/>
      <c r="AN10" s="50"/>
      <c r="AO10" s="50"/>
      <c r="AP10" s="50"/>
      <c r="AQ10" s="28"/>
      <c r="AR10" s="51"/>
      <c r="AS10" s="28"/>
      <c r="AT10" s="28"/>
      <c r="AU10" s="4"/>
      <c r="AV10" s="18">
        <f>60</f>
        <v>60</v>
      </c>
      <c r="AW10" s="18">
        <f>3600</f>
        <v>3600</v>
      </c>
      <c r="AX10" s="18">
        <f>24*3600</f>
        <v>86400</v>
      </c>
      <c r="AY10" s="18">
        <f>7*24*3600</f>
        <v>604800</v>
      </c>
      <c r="AZ10" s="18">
        <f>14*24*3600</f>
        <v>1209600</v>
      </c>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3"/>
      <c r="CS10" s="13"/>
      <c r="CT10" s="13"/>
      <c r="CU10" s="13"/>
    </row>
    <row r="11" spans="1:99" s="15" customFormat="1" ht="12" customHeight="1" x14ac:dyDescent="0.2">
      <c r="A11" s="37">
        <v>43509</v>
      </c>
      <c r="B11" s="13" t="s">
        <v>54</v>
      </c>
      <c r="C11" s="13" t="s">
        <v>34</v>
      </c>
      <c r="D11" s="34">
        <v>2017</v>
      </c>
      <c r="E11" s="43">
        <v>1</v>
      </c>
      <c r="F11" s="34">
        <v>200</v>
      </c>
      <c r="G11" s="34">
        <v>40</v>
      </c>
      <c r="H11" s="34" t="s">
        <v>13</v>
      </c>
      <c r="I11" s="34"/>
      <c r="J11" s="34" t="s">
        <v>109</v>
      </c>
      <c r="K11" s="32">
        <f>IF(J11="syllables",1,IF(J11="trigrams",2,IF(J11="strings",3,IF(J11="visual array",4,IF(J11="characters",5,IF(J11="letters",6,IF(J11="free forms",7,IF(J11="odors",8,IF(J11="words",9,IF(J11="pictures",10,IF(J11="object pictures",11,IF(J11="faces",12,IF(J11="names",13,IF(J11="idioms",14,IF(J11="grades",15,IF(J11="syllable-digit pairs",16,IF(J11="trigram-word pairs",17,IF(J11="word-digit pairs",18,IF(J11="English-Swahili pairs",19,IF(J11="spatial position",20,IF(J11="word pairs",21,IF(J11="word triads",22,IF(J11="generated words",23,IF(J11="word definition pairs",24,IF(J11="math problems",25,IF(J11="famous faces",26,IF(J11="famous names",27,IF(J11="famous voices",28,IF(J11="television programs",29,IF(J11="race horses",30,IF(J11="new vocabulary",31,IF(J11="sentences",32,IF(J11="concepts",33,IF(J11="ad slides",34,IF(J11="scenes",35,IF(J11="famous scenes",36,IF(J11="poems",37,IF(J11="walk",38,IF(J11="faces and events",39,IF(J11="events and names",40,IF(J11="flashbulb",41,IF(J11="stories",42,IF(J11="course material",43,IF(J11="autobiographical",44,IF(J11="novels",45,IF(J11="public events",46,"99"))))))))))))))))))))))))))))))))))))))))))))))</f>
        <v>32</v>
      </c>
      <c r="L11" s="32">
        <f>IF(J11="syllables",1,IF(J11="trigrams",1,IF(J11="strings",1,IF(J11="visual array",1,IF(J11="characters",1,IF(J11="letters",1,IF(J11="free forms",1,IF(J11="odors",2,IF(J11="words",2,IF(J11="pictures",2,IF(J11="object pictures",2,IF(J11="faces",2,IF(J11="names",2,IF(J11="idioms","2",IF(J11="grades",2,IF(J11="syllable-digit pairs",3,IF(J11="trigram-word pairs",3,IF(J11="word-digit pairs",3,IF(J11="English-Swahili pairs",3,IF(J11="spatial position",3,IF(J11="word pairs",4,IF(J11="word triads",4,IF(J11="generated words",4,IF(J11="word definition pairs",4,IF(J11="math problems",4,IF(J11="famous faces",4,IF(J11="famous names",4,IF(J11="famous voices",4,IF(J11="television programs",4,IF(J11="race horses",4,IF(J11="new vocabulary",4,IF(J11="sentences",5,IF(J11="concepts",5,IF(J11="ad slides",5,IF(J11="scenes",5,IF(J11="famous scenes",5,IF(J11="poems",6,IF(J11="walk",6,IF(J11="faces and events",6,IF(J11="events and names",6,IF(J11="flashbulb",7,IF(J11="stories",7,IF(J11="course material",7,IF(J11="autobiographical",7,IF(J11="novels",7,IF(J11="public events",7,"99"))))))))))))))))))))))))))))))))))))))))))))))</f>
        <v>5</v>
      </c>
      <c r="M11" s="34">
        <v>1</v>
      </c>
      <c r="N11" s="34">
        <v>4</v>
      </c>
      <c r="O11" s="34">
        <v>0</v>
      </c>
      <c r="P11" s="34"/>
      <c r="Q11" s="34" t="s">
        <v>18</v>
      </c>
      <c r="R11" s="32">
        <f>IF(Q11="Free Recall",1,IF(Q11="Cued Recall",2,IF(Q11="Recognition",3,IF(Q11="Multiple Choice",4,IF(Q11="Savings",5,IF(Q11="Stem Completion",6,IF(Q11="Fragment Completion",7,IF(Q11="anagram solution",8,IF(Q11="Matching",9,IF(Q11="Problem Solving",10,"99"))))))))))</f>
        <v>3</v>
      </c>
      <c r="S11" s="31" t="s">
        <v>196</v>
      </c>
      <c r="T11" s="34" t="s">
        <v>72</v>
      </c>
      <c r="U11" s="32">
        <f>IF(T11="within",1,0)</f>
        <v>0</v>
      </c>
      <c r="V11" s="34">
        <v>18</v>
      </c>
      <c r="W11" s="32">
        <f>F11*V11</f>
        <v>3600</v>
      </c>
      <c r="X11" s="34">
        <v>5</v>
      </c>
      <c r="Y11" s="41">
        <f>AV10</f>
        <v>60</v>
      </c>
      <c r="Z11" s="34" t="s">
        <v>55</v>
      </c>
      <c r="AA11" s="34">
        <v>1209600</v>
      </c>
      <c r="AB11" s="32" t="str">
        <f>IF(AA11&lt;60,"1",IF(AA11&lt;=43200,"2",IF(AA11&lt;=777600,"3","4")))</f>
        <v>4</v>
      </c>
      <c r="AC11" s="28">
        <f>AVERAGE(AV10:DA10)</f>
        <v>380892</v>
      </c>
      <c r="AD11" s="32" t="str">
        <f>IF(AC11&lt;60,"1",IF(AC11&lt;=43200,"2",IF(AC11&lt;=777600,"3","4")))</f>
        <v>3</v>
      </c>
      <c r="AE11" s="41">
        <f>AA11-Y11</f>
        <v>1209540</v>
      </c>
      <c r="AF11" s="45">
        <f>AV11</f>
        <v>3.5885143212326254</v>
      </c>
      <c r="AG11" s="28">
        <f>((AW11-AV11)+(AX11-AW11)+(AY11-AX11)+(AZ11-AY11))/4</f>
        <v>-0.26076646968173955</v>
      </c>
      <c r="AH11" s="4"/>
      <c r="AI11" s="28">
        <f>RSQ(AV11:AZ11,AV10:AZ10)</f>
        <v>0.81972136208368218</v>
      </c>
      <c r="AJ11" s="51">
        <f>SLOPE(AV11:AZ11,AV10:AZ10)</f>
        <v>-7.4161877399048183E-7</v>
      </c>
      <c r="AK11" s="28">
        <f>INTERCEPT(AV11:AZ11,AV10:AZ10)</f>
        <v>3.5942099600997408</v>
      </c>
      <c r="AL11" s="28">
        <f>INDEX(LINEST(LN(AV11:AZ11),LN(AV10:AZ10),TRUE,TRUE),3,1)</f>
        <v>0.34759165358119848</v>
      </c>
      <c r="AM11" s="28">
        <f>INDEX(LINEST(LN(AV11:AZ11),LN(AV10:AZ10)),1)</f>
        <v>-2.0707266774658013E-2</v>
      </c>
      <c r="AN11" s="28">
        <f>EXP(INDEX(LINEST(LN(AV11:AZ11),LN(AV10:AZ10)),1,2))</f>
        <v>4.0585130178898581</v>
      </c>
      <c r="AO11" s="47">
        <f>INDEX(LINEST((AV11:AZ11),LN(AV10:AZ10),TRUE,TRUE),3,1)</f>
        <v>0.36098327578025313</v>
      </c>
      <c r="AP11" s="47">
        <f>INDEX(LINEST((AV11:AZ11),LN(AV10:AZ10)),1)</f>
        <v>-6.3441097981759731E-2</v>
      </c>
      <c r="AQ11" s="48">
        <f>INDEX(LINEST(LN(AV11:AZ11),SQRT(AV10:AZ10),TRUE,TRUE),3,1)</f>
        <v>0.64704969483635888</v>
      </c>
      <c r="AR11" s="56">
        <f>INDEX(LINEST(LN(AV11:AZ11),SQRT((AV10:AZ10))),1)</f>
        <v>-2.4328309639663916E-4</v>
      </c>
      <c r="AS11" s="49">
        <f>INDEX(LINEST(1/(AV11:AZ11),1/(SQRT(AV10:AZ10)),TRUE,TRUE),3,1)</f>
        <v>0.13758238510495699</v>
      </c>
      <c r="AT11" s="49">
        <f>INDEX(LINEST(1/(AV11:AZ11),1/SQRT(AV10:AZ10)),1)</f>
        <v>-0.32141669767135611</v>
      </c>
      <c r="AU11" s="3"/>
      <c r="AV11" s="25">
        <v>3.5885143212326254</v>
      </c>
      <c r="AW11" s="25">
        <v>3.4631289580301861</v>
      </c>
      <c r="AX11" s="25">
        <v>3.5086650452825143</v>
      </c>
      <c r="AY11" s="25">
        <v>3.4529097431338025</v>
      </c>
      <c r="AZ11" s="25">
        <v>2.5454484425056672</v>
      </c>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3"/>
      <c r="CS11" s="13"/>
      <c r="CT11" s="13"/>
      <c r="CU11" s="13"/>
    </row>
    <row r="12" spans="1:99" ht="12" customHeight="1" x14ac:dyDescent="0.2">
      <c r="A12" s="37">
        <v>43979</v>
      </c>
      <c r="B12" s="11"/>
      <c r="C12" s="11"/>
      <c r="D12" s="31"/>
      <c r="E12" s="40"/>
      <c r="F12" s="31"/>
      <c r="G12" s="31"/>
      <c r="H12" s="31"/>
      <c r="I12" s="31"/>
      <c r="J12" s="31"/>
      <c r="K12" s="32"/>
      <c r="L12" s="32"/>
      <c r="M12" s="31"/>
      <c r="N12" s="31"/>
      <c r="O12" s="31"/>
      <c r="P12" s="31"/>
      <c r="Q12" s="31"/>
      <c r="R12" s="32"/>
      <c r="S12" s="32"/>
      <c r="T12" s="31"/>
      <c r="U12" s="32"/>
      <c r="V12" s="31"/>
      <c r="W12" s="32"/>
      <c r="X12" s="31"/>
      <c r="Y12" s="41"/>
      <c r="Z12" s="31"/>
      <c r="AA12" s="31"/>
      <c r="AB12" s="32"/>
      <c r="AC12" s="28"/>
      <c r="AD12" s="32"/>
      <c r="AE12" s="41"/>
      <c r="AF12" s="45"/>
      <c r="AG12" s="28"/>
      <c r="AH12" s="4"/>
      <c r="AI12" s="28"/>
      <c r="AJ12" s="51"/>
      <c r="AK12" s="28"/>
      <c r="AL12" s="28"/>
      <c r="AM12" s="28"/>
      <c r="AN12" s="28"/>
      <c r="AO12" s="47"/>
      <c r="AP12" s="47"/>
      <c r="AQ12" s="48"/>
      <c r="AR12" s="56"/>
      <c r="AS12" s="49"/>
      <c r="AT12" s="49"/>
      <c r="AU12" s="3"/>
      <c r="AV12" s="24">
        <v>60</v>
      </c>
      <c r="AW12" s="24">
        <f>60*60*24</f>
        <v>86400</v>
      </c>
      <c r="AX12" s="24">
        <f>60*60*24*7</f>
        <v>604800</v>
      </c>
      <c r="AY12" s="24">
        <f>60*60*24*25</f>
        <v>2160000</v>
      </c>
      <c r="AZ12" s="7"/>
      <c r="BA12" s="25" t="s">
        <v>179</v>
      </c>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11"/>
      <c r="CS12" s="11"/>
      <c r="CT12" s="11"/>
      <c r="CU12" s="11"/>
    </row>
    <row r="13" spans="1:99" ht="12" customHeight="1" x14ac:dyDescent="0.2">
      <c r="A13" s="37">
        <v>43979</v>
      </c>
      <c r="B13" s="11" t="s">
        <v>175</v>
      </c>
      <c r="C13" s="11" t="s">
        <v>34</v>
      </c>
      <c r="D13" s="31">
        <v>2020</v>
      </c>
      <c r="E13" s="40">
        <v>2</v>
      </c>
      <c r="F13" s="31">
        <v>70</v>
      </c>
      <c r="G13" s="31">
        <v>70</v>
      </c>
      <c r="H13" s="31" t="s">
        <v>176</v>
      </c>
      <c r="I13" s="31" t="s">
        <v>177</v>
      </c>
      <c r="J13" s="31" t="s">
        <v>82</v>
      </c>
      <c r="K13" s="32">
        <f>IF(J13="syllables",1,IF(J13="trigrams",2,IF(J13="strings",3,IF(J13="visual array",4,IF(J13="characters",5,IF(J13="letters",6,IF(J13="free forms",7,IF(J13="odors",8,IF(J13="words",9,IF(J13="pictures",10,IF(J13="object pictures",11,IF(J13="faces",12,IF(J13="names",13,IF(J13="idioms",14,IF(J13="grades",15,IF(J13="syllable-digit pairs",16,IF(J13="trigram-word pairs",17,IF(J13="word-digit pairs",18,IF(J13="English-Swahili pairs",19,IF(J13="spatial position",20,IF(J13="word pairs",21,IF(J13="word triads",22,IF(J13="generated words",23,IF(J13="word definition pairs",24,IF(J13="math problems",25,IF(J13="famous faces",26,IF(J13="famous names",27,IF(J13="famous voices",28,IF(J13="television programs",29,IF(J13="race horses",30,IF(J13="new vocabulary",31,IF(J13="sentences",32,IF(J13="concepts",33,IF(J13="ad slides",34,IF(J13="scenes",35,IF(J13="famous scenes",36,IF(J13="poems",37,IF(J13="walk",38,IF(J13="faces and events",39,IF(J13="events and names",40,IF(J13="flashbulb",41,IF(J13="stories",42,IF(J13="course material",43,IF(J13="autobiographical",44,IF(J13="novels",45,IF(J13="public events",46,"99"))))))))))))))))))))))))))))))))))))))))))))))</f>
        <v>10</v>
      </c>
      <c r="L13" s="32">
        <f>IF(J13="syllables",1,IF(J13="trigrams",1,IF(J13="strings",1,IF(J13="visual array",1,IF(J13="characters",1,IF(J13="letters",1,IF(J13="free forms",1,IF(J13="odors",2,IF(J13="words",2,IF(J13="pictures",2,IF(J13="object pictures",2,IF(J13="faces",2,IF(J13="names",2,IF(J13="idioms","2",IF(J13="grades",2,IF(J13="syllable-digit pairs",3,IF(J13="trigram-word pairs",3,IF(J13="word-digit pairs",3,IF(J13="English-Swahili pairs",3,IF(J13="spatial position",3,IF(J13="word pairs",4,IF(J13="word triads",4,IF(J13="generated words",4,IF(J13="word definition pairs",4,IF(J13="math problems",4,IF(J13="famous faces",4,IF(J13="famous names",4,IF(J13="famous voices",4,IF(J13="television programs",4,IF(J13="race horses",4,IF(J13="new vocabulary",4,IF(J13="sentences",5,IF(J13="concepts",5,IF(J13="ad slides",5,IF(J13="scenes",5,IF(J13="famous scenes",5,IF(J13="poems",6,IF(J13="walk",6,IF(J13="faces and events",6,IF(J13="events and names",6,IF(J13="flashbulb",7,IF(J13="stories",7,IF(J13="course material",7,IF(J13="autobiographical",7,IF(J13="novels",7,IF(J13="public events",7,"99"))))))))))))))))))))))))))))))))))))))))))))))</f>
        <v>2</v>
      </c>
      <c r="M13" s="31">
        <v>1</v>
      </c>
      <c r="N13" s="31">
        <v>2</v>
      </c>
      <c r="O13" s="31">
        <v>0</v>
      </c>
      <c r="P13" s="31"/>
      <c r="Q13" s="31" t="s">
        <v>18</v>
      </c>
      <c r="R13" s="32">
        <f>IF(Q13="Free Recall",1,IF(Q13="Cued Recall",2,IF(Q13="Recognition",3,IF(Q13="Multiple Choice",4,IF(Q13="Savings",5,IF(Q13="Stem Completion",6,IF(Q13="Fragment Completion",7,IF(Q13="anagram solution",8,IF(Q13="Matching",9,IF(Q13="Problem Solving",10,"99"))))))))))</f>
        <v>3</v>
      </c>
      <c r="S13" s="77" t="s">
        <v>196</v>
      </c>
      <c r="T13" s="31" t="s">
        <v>132</v>
      </c>
      <c r="U13" s="32">
        <f>IF(T13="within",1,0)</f>
        <v>1</v>
      </c>
      <c r="V13" s="31">
        <v>200</v>
      </c>
      <c r="W13" s="32">
        <f>F13*V13</f>
        <v>14000</v>
      </c>
      <c r="X13" s="31">
        <v>4</v>
      </c>
      <c r="Y13" s="41">
        <f>AV12</f>
        <v>60</v>
      </c>
      <c r="Z13" s="31" t="s">
        <v>178</v>
      </c>
      <c r="AA13" s="41">
        <f>60*60*24*25</f>
        <v>2160000</v>
      </c>
      <c r="AB13" s="32" t="str">
        <f>IF(AA13&lt;60,"1",IF(AA13&lt;=43200,"2",IF(AA13&lt;=777600,"3","4")))</f>
        <v>4</v>
      </c>
      <c r="AC13" s="28">
        <f>AVERAGE(AV12:DA12)</f>
        <v>712815</v>
      </c>
      <c r="AD13" s="32" t="str">
        <f>IF(AC13&lt;60,"1",IF(AC13&lt;=43200,"2",IF(AC13&lt;=777600,"3","4")))</f>
        <v>3</v>
      </c>
      <c r="AE13" s="41">
        <f>AA13-Y13</f>
        <v>2159940</v>
      </c>
      <c r="AF13" s="45">
        <f>AV13</f>
        <v>1.0567142857142855</v>
      </c>
      <c r="AG13" s="28">
        <f>((AW13-AV13)+(AX13-AW13)+(AY13-AX13))/3</f>
        <v>-0.22050476190476184</v>
      </c>
      <c r="AH13" s="4"/>
      <c r="AI13" s="28">
        <f>RSQ(AV13:AY13,AV12:AY12)</f>
        <v>0.65078364425608459</v>
      </c>
      <c r="AJ13" s="51">
        <f>SLOPE(AV13:AY13,AV12:AY12)</f>
        <v>-2.333307644981544E-7</v>
      </c>
      <c r="AK13" s="28">
        <f>INTERCEPT(AV13:AY13,AV12:AY12)</f>
        <v>0.84500381175289474</v>
      </c>
      <c r="AL13" s="28">
        <f>INDEX(LINEST(LN(AV13:AY13),LN(AV12:AY12),TRUE,TRUE),3,1)</f>
        <v>0.87551963813168232</v>
      </c>
      <c r="AM13" s="28">
        <f>INDEX(LINEST(LN(AV13:AY13),LN(AV12:AY12)),1)</f>
        <v>-8.5151640058379441E-2</v>
      </c>
      <c r="AN13" s="28">
        <f>EXP(INDEX(LINEST(LN(AV13:AY13),LN(AV12:AY12)),1,2))</f>
        <v>1.5956187857178696</v>
      </c>
      <c r="AO13" s="47">
        <f>INDEX(LINEST((AV13:AY13),LN(AV12:AY12),TRUE,TRUE),3,1)</f>
        <v>0.94855092327592949</v>
      </c>
      <c r="AP13" s="47">
        <f>INDEX(LINEST((AV13:AY13),LN(AV12:AY12)),1)</f>
        <v>-6.0156739431794129E-2</v>
      </c>
      <c r="AQ13" s="48">
        <f>INDEX(LINEST(LN(AV13:AY13),SQRT(AV12:AY12),TRUE,TRUE),3,1)</f>
        <v>0.94483485152341551</v>
      </c>
      <c r="AR13" s="56">
        <f>INDEX(LINEST(LN(AV13:AY13),SQRT((AV12:AY12))),1)</f>
        <v>-6.4844328683771023E-4</v>
      </c>
      <c r="AS13" s="49">
        <f>INDEX(LINEST(1/(AV13:AY13),1/(SQRT(AV12:AY12)),TRUE,TRUE),3,1)</f>
        <v>0.52845354283315671</v>
      </c>
      <c r="AT13" s="49">
        <f>INDEX(LINEST(1/(AV13:AY13),1/SQRT(AV12:AY12)),1)</f>
        <v>-7.8686122315290117</v>
      </c>
      <c r="AU13" s="3"/>
      <c r="AV13" s="7">
        <v>1.0567142857142855</v>
      </c>
      <c r="AW13" s="7">
        <v>0.7404285714285711</v>
      </c>
      <c r="AX13" s="7">
        <v>0.52238571428571423</v>
      </c>
      <c r="AY13" s="7">
        <v>0.3952</v>
      </c>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11"/>
      <c r="CS13" s="11"/>
      <c r="CT13" s="11"/>
      <c r="CU13" s="11"/>
    </row>
    <row r="14" spans="1:99" ht="12" customHeight="1" x14ac:dyDescent="0.2">
      <c r="A14" s="37">
        <v>43979</v>
      </c>
      <c r="B14" s="11"/>
      <c r="C14" s="11"/>
      <c r="D14" s="31"/>
      <c r="E14" s="40"/>
      <c r="F14" s="31"/>
      <c r="G14" s="31"/>
      <c r="H14" s="31"/>
      <c r="I14" s="31"/>
      <c r="J14" s="31"/>
      <c r="K14" s="32"/>
      <c r="L14" s="32"/>
      <c r="M14" s="31"/>
      <c r="N14" s="31"/>
      <c r="O14" s="31"/>
      <c r="P14" s="31"/>
      <c r="Q14" s="31"/>
      <c r="R14" s="32"/>
      <c r="S14" s="32"/>
      <c r="T14" s="31"/>
      <c r="U14" s="32"/>
      <c r="V14" s="31"/>
      <c r="W14" s="32"/>
      <c r="X14" s="31"/>
      <c r="Y14" s="41"/>
      <c r="Z14" s="31"/>
      <c r="AA14" s="31"/>
      <c r="AB14" s="32"/>
      <c r="AC14" s="28"/>
      <c r="AD14" s="32"/>
      <c r="AE14" s="41"/>
      <c r="AF14" s="45"/>
      <c r="AG14" s="28"/>
      <c r="AH14" s="4"/>
      <c r="AI14" s="28"/>
      <c r="AJ14" s="51"/>
      <c r="AK14" s="28"/>
      <c r="AL14" s="28"/>
      <c r="AM14" s="28"/>
      <c r="AN14" s="28"/>
      <c r="AO14" s="47"/>
      <c r="AP14" s="47"/>
      <c r="AQ14" s="48"/>
      <c r="AR14" s="56"/>
      <c r="AS14" s="49"/>
      <c r="AT14" s="49"/>
      <c r="AU14" s="3"/>
      <c r="AV14" s="24">
        <v>60</v>
      </c>
      <c r="AW14" s="24">
        <f>60*60*24</f>
        <v>86400</v>
      </c>
      <c r="AX14" s="24">
        <f>60*60*24*7</f>
        <v>604800</v>
      </c>
      <c r="AY14" s="24">
        <f>60*60*24*25</f>
        <v>2160000</v>
      </c>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11"/>
      <c r="CS14" s="11"/>
      <c r="CT14" s="11"/>
      <c r="CU14" s="11"/>
    </row>
    <row r="15" spans="1:99" ht="12" customHeight="1" x14ac:dyDescent="0.2">
      <c r="A15" s="37">
        <v>43979</v>
      </c>
      <c r="B15" s="11" t="s">
        <v>175</v>
      </c>
      <c r="C15" s="11" t="s">
        <v>34</v>
      </c>
      <c r="D15" s="31">
        <v>2020</v>
      </c>
      <c r="E15" s="40">
        <v>2</v>
      </c>
      <c r="F15" s="31">
        <v>70</v>
      </c>
      <c r="G15" s="31">
        <v>70</v>
      </c>
      <c r="H15" s="31" t="s">
        <v>176</v>
      </c>
      <c r="I15" s="31" t="s">
        <v>151</v>
      </c>
      <c r="J15" s="31" t="s">
        <v>82</v>
      </c>
      <c r="K15" s="32">
        <f>IF(J15="syllables",1,IF(J15="trigrams",2,IF(J15="strings",3,IF(J15="visual array",4,IF(J15="characters",5,IF(J15="letters",6,IF(J15="free forms",7,IF(J15="odors",8,IF(J15="words",9,IF(J15="pictures",10,IF(J15="object pictures",11,IF(J15="faces",12,IF(J15="names",13,IF(J15="idioms",14,IF(J15="grades",15,IF(J15="syllable-digit pairs",16,IF(J15="trigram-word pairs",17,IF(J15="word-digit pairs",18,IF(J15="English-Swahili pairs",19,IF(J15="spatial position",20,IF(J15="word pairs",21,IF(J15="word triads",22,IF(J15="generated words",23,IF(J15="word definition pairs",24,IF(J15="math problems",25,IF(J15="famous faces",26,IF(J15="famous names",27,IF(J15="famous voices",28,IF(J15="television programs",29,IF(J15="race horses",30,IF(J15="new vocabulary",31,IF(J15="sentences",32,IF(J15="concepts",33,IF(J15="ad slides",34,IF(J15="scenes",35,IF(J15="famous scenes",36,IF(J15="poems",37,IF(J15="walk",38,IF(J15="faces and events",39,IF(J15="events and names",40,IF(J15="flashbulb",41,IF(J15="stories",42,IF(J15="course material",43,IF(J15="autobiographical",44,IF(J15="novels",45,IF(J15="public events",46,"99"))))))))))))))))))))))))))))))))))))))))))))))</f>
        <v>10</v>
      </c>
      <c r="L15" s="32">
        <f>IF(J15="syllables",1,IF(J15="trigrams",1,IF(J15="strings",1,IF(J15="visual array",1,IF(J15="characters",1,IF(J15="letters",1,IF(J15="free forms",1,IF(J15="odors",2,IF(J15="words",2,IF(J15="pictures",2,IF(J15="object pictures",2,IF(J15="faces",2,IF(J15="names",2,IF(J15="idioms","2",IF(J15="grades",2,IF(J15="syllable-digit pairs",3,IF(J15="trigram-word pairs",3,IF(J15="word-digit pairs",3,IF(J15="English-Swahili pairs",3,IF(J15="spatial position",3,IF(J15="word pairs",4,IF(J15="word triads",4,IF(J15="generated words",4,IF(J15="word definition pairs",4,IF(J15="math problems",4,IF(J15="famous faces",4,IF(J15="famous names",4,IF(J15="famous voices",4,IF(J15="television programs",4,IF(J15="race horses",4,IF(J15="new vocabulary",4,IF(J15="sentences",5,IF(J15="concepts",5,IF(J15="ad slides",5,IF(J15="scenes",5,IF(J15="famous scenes",5,IF(J15="poems",6,IF(J15="walk",6,IF(J15="faces and events",6,IF(J15="events and names",6,IF(J15="flashbulb",7,IF(J15="stories",7,IF(J15="course material",7,IF(J15="autobiographical",7,IF(J15="novels",7,IF(J15="public events",7,"99"))))))))))))))))))))))))))))))))))))))))))))))</f>
        <v>2</v>
      </c>
      <c r="M15" s="31">
        <v>1</v>
      </c>
      <c r="N15" s="31">
        <v>2</v>
      </c>
      <c r="O15" s="31">
        <v>0</v>
      </c>
      <c r="P15" s="31"/>
      <c r="Q15" s="31" t="s">
        <v>18</v>
      </c>
      <c r="R15" s="32">
        <f>IF(Q15="Free Recall",1,IF(Q15="Cued Recall",2,IF(Q15="Recognition",3,IF(Q15="Multiple Choice",4,IF(Q15="Savings",5,IF(Q15="Stem Completion",6,IF(Q15="Fragment Completion",7,IF(Q15="anagram solution",8,IF(Q15="Matching",9,IF(Q15="Problem Solving",10,"99"))))))))))</f>
        <v>3</v>
      </c>
      <c r="S15" s="77" t="s">
        <v>196</v>
      </c>
      <c r="T15" s="31" t="s">
        <v>132</v>
      </c>
      <c r="U15" s="32">
        <f>IF(T15="within",1,0)</f>
        <v>1</v>
      </c>
      <c r="V15" s="31">
        <v>200</v>
      </c>
      <c r="W15" s="32">
        <f>F15*V15</f>
        <v>14000</v>
      </c>
      <c r="X15" s="31">
        <v>4</v>
      </c>
      <c r="Y15" s="41">
        <f>AV14</f>
        <v>60</v>
      </c>
      <c r="Z15" s="31" t="s">
        <v>178</v>
      </c>
      <c r="AA15" s="41">
        <f>60*60*24*25</f>
        <v>2160000</v>
      </c>
      <c r="AB15" s="32" t="str">
        <f>IF(AA15&lt;60,"1",IF(AA15&lt;=43200,"2",IF(AA15&lt;=777600,"3","4")))</f>
        <v>4</v>
      </c>
      <c r="AC15" s="28">
        <f>AVERAGE(AV14:DA14)</f>
        <v>712815</v>
      </c>
      <c r="AD15" s="32" t="str">
        <f>IF(AC15&lt;60,"1",IF(AC15&lt;=43200,"2",IF(AC15&lt;=777600,"3","4")))</f>
        <v>3</v>
      </c>
      <c r="AE15" s="41">
        <f>AA15-Y15</f>
        <v>2159940</v>
      </c>
      <c r="AF15" s="45">
        <f>AV15</f>
        <v>1.4949285714285712</v>
      </c>
      <c r="AG15" s="28">
        <f>((AW15-AV15)+(AX15-AW15)+(AY15-AX15))/3</f>
        <v>-0.2670142857142857</v>
      </c>
      <c r="AH15" s="4"/>
      <c r="AI15" s="28">
        <f>RSQ(AV15:AY15,AV14:AY14)</f>
        <v>0.7091241467752214</v>
      </c>
      <c r="AJ15" s="51">
        <f>SLOPE(AV15:AY15,AV14:AY14)</f>
        <v>-2.810732491267346E-7</v>
      </c>
      <c r="AK15" s="28">
        <f>INTERCEPT(AV15:AY15,AV14:AY14)</f>
        <v>1.2578675137905591</v>
      </c>
      <c r="AL15" s="28">
        <f>INDEX(LINEST(LN(AV15:AY15),LN(AV14:AY14),TRUE,TRUE),3,1)</f>
        <v>0.86324918829267672</v>
      </c>
      <c r="AM15" s="28">
        <f>INDEX(LINEST(LN(AV15:AY15),LN(AV14:AY14)),1)</f>
        <v>-6.2977119613244162E-2</v>
      </c>
      <c r="AN15" s="28">
        <f>EXP(INDEX(LINEST(LN(AV15:AY15),LN(AV14:AY14)),1,2))</f>
        <v>2.0157348806951489</v>
      </c>
      <c r="AO15" s="47">
        <f>INDEX(LINEST((AV15:AY15),LN(AV14:AY14),TRUE,TRUE),3,1)</f>
        <v>0.93813845794262274</v>
      </c>
      <c r="AP15" s="47">
        <f>INDEX(LINEST((AV15:AY15),LN(AV14:AY14)),1)</f>
        <v>-6.9038623065351842E-2</v>
      </c>
      <c r="AQ15" s="48">
        <f>INDEX(LINEST(LN(AV15:AY15),SQRT(AV14:AY14),TRUE,TRUE),3,1)</f>
        <v>0.94404087783783586</v>
      </c>
      <c r="AR15" s="56">
        <f>INDEX(LINEST(LN(AV15:AY15),SQRT((AV14:AY14))),1)</f>
        <v>-4.8277422930036618E-4</v>
      </c>
      <c r="AS15" s="49">
        <f>INDEX(LINEST(1/(AV15:AY15),1/(SQRT(AV14:AY14)),TRUE,TRUE),3,1)</f>
        <v>0.5413754161459079</v>
      </c>
      <c r="AT15" s="49">
        <f>INDEX(LINEST(1/(AV15:AY15),1/SQRT(AV14:AY14)),1)</f>
        <v>-3.7227239869528219</v>
      </c>
      <c r="AU15" s="3"/>
      <c r="AV15" s="7">
        <v>1.4949285714285712</v>
      </c>
      <c r="AW15" s="7">
        <v>1.0864285714285713</v>
      </c>
      <c r="AX15" s="7">
        <v>0.9548142857142855</v>
      </c>
      <c r="AY15" s="7">
        <v>0.69388571428571411</v>
      </c>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11"/>
      <c r="CS15" s="11"/>
      <c r="CT15" s="11"/>
      <c r="CU15" s="11"/>
    </row>
    <row r="16" spans="1:99" s="9" customFormat="1" ht="12" customHeight="1" x14ac:dyDescent="0.2">
      <c r="A16" s="37">
        <v>43509</v>
      </c>
      <c r="B16" s="1"/>
      <c r="C16" s="1"/>
      <c r="D16" s="32"/>
      <c r="E16" s="41"/>
      <c r="F16" s="32"/>
      <c r="G16" s="32"/>
      <c r="H16" s="32"/>
      <c r="I16" s="32"/>
      <c r="J16" s="32"/>
      <c r="K16" s="36"/>
      <c r="L16" s="36"/>
      <c r="M16" s="32"/>
      <c r="N16" s="32"/>
      <c r="O16" s="32"/>
      <c r="P16" s="32"/>
      <c r="Q16" s="32"/>
      <c r="R16" s="32"/>
      <c r="S16" s="32"/>
      <c r="T16" s="32"/>
      <c r="U16" s="32"/>
      <c r="V16" s="32"/>
      <c r="W16" s="32"/>
      <c r="X16" s="32"/>
      <c r="Y16" s="41"/>
      <c r="Z16" s="32"/>
      <c r="AA16" s="32"/>
      <c r="AB16" s="32"/>
      <c r="AC16" s="32"/>
      <c r="AD16" s="32"/>
      <c r="AE16" s="32"/>
      <c r="AF16" s="45"/>
      <c r="AG16" s="28"/>
      <c r="AH16" s="4"/>
      <c r="AI16" s="28"/>
      <c r="AJ16" s="51"/>
      <c r="AK16" s="28"/>
      <c r="AL16" s="28"/>
      <c r="AM16" s="28"/>
      <c r="AN16" s="28"/>
      <c r="AO16" s="28"/>
      <c r="AP16" s="28"/>
      <c r="AQ16" s="47"/>
      <c r="AR16" s="55"/>
      <c r="AS16" s="47"/>
      <c r="AT16" s="47"/>
      <c r="AU16" s="4"/>
      <c r="AV16" s="18">
        <v>473</v>
      </c>
      <c r="AW16" s="18">
        <f>7*24*3600*1</f>
        <v>604800</v>
      </c>
      <c r="AX16" s="18">
        <f>7*24*3600*2</f>
        <v>1209600</v>
      </c>
      <c r="AY16" s="25" t="s">
        <v>113</v>
      </c>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1"/>
      <c r="CS16" s="1"/>
      <c r="CT16" s="1"/>
      <c r="CU16" s="1"/>
    </row>
    <row r="17" spans="1:99" s="9" customFormat="1" ht="12" customHeight="1" x14ac:dyDescent="0.2">
      <c r="A17" s="37">
        <v>43509</v>
      </c>
      <c r="B17" s="1" t="s">
        <v>57</v>
      </c>
      <c r="C17" s="1" t="s">
        <v>58</v>
      </c>
      <c r="D17" s="32">
        <v>2007</v>
      </c>
      <c r="E17" s="41">
        <v>1</v>
      </c>
      <c r="F17" s="32">
        <v>29</v>
      </c>
      <c r="G17" s="32">
        <v>29</v>
      </c>
      <c r="H17" s="32" t="s">
        <v>14</v>
      </c>
      <c r="I17" s="32"/>
      <c r="J17" s="32" t="s">
        <v>157</v>
      </c>
      <c r="K17" s="32">
        <f>IF(J17="syllables",1,IF(J17="trigrams",2,IF(J17="strings",3,IF(J17="visual array",4,IF(J17="characters",5,IF(J17="letters",6,IF(J17="free forms",7,IF(J17="odors",8,IF(J17="words",9,IF(J17="pictures",10,IF(J17="object pictures",11,IF(J17="faces",12,IF(J17="names",13,IF(J17="idioms",14,IF(J17="grades",15,IF(J17="syllable-digit pairs",16,IF(J17="trigram-word pairs",17,IF(J17="word-digit pairs",18,IF(J17="English-Swahili pairs",19,IF(J17="spatial position",20,IF(J17="word pairs",21,IF(J17="word triads",22,IF(J17="generated words",23,IF(J17="word definition pairs",24,IF(J17="math problems",25,IF(J17="famous faces",26,IF(J17="famous names",27,IF(J17="famous voices",28,IF(J17="television programs",29,IF(J17="race horses",30,IF(J17="new vocabulary",31,IF(J17="sentences",32,IF(J17="concepts",33,IF(J17="ad slides",34,IF(J17="scenes",35,IF(J17="famous scenes",36,IF(J17="poems",37,IF(J17="walk",38,IF(J17="faces and events",39,IF(J17="events and names",40,IF(J17="flashbulb",41,IF(J17="stories",42,IF(J17="course material",43,IF(J17="autobiographical",44,IF(J17="novels",45,IF(J17="public events",46,"99"))))))))))))))))))))))))))))))))))))))))))))))</f>
        <v>3</v>
      </c>
      <c r="L17" s="32">
        <f>IF(J17="syllables",1,IF(J17="trigrams",1,IF(J17="strings",1,IF(J17="visual array",1,IF(J17="characters",1,IF(J17="letters",1,IF(J17="free forms",1,IF(J17="odors",2,IF(J17="words",2,IF(J17="pictures",2,IF(J17="object pictures",2,IF(J17="faces",2,IF(J17="names",2,IF(J17="idioms","2",IF(J17="grades",2,IF(J17="syllable-digit pairs",3,IF(J17="trigram-word pairs",3,IF(J17="word-digit pairs",3,IF(J17="English-Swahili pairs",3,IF(J17="spatial position",3,IF(J17="word pairs",4,IF(J17="word triads",4,IF(J17="generated words",4,IF(J17="word definition pairs",4,IF(J17="math problems",4,IF(J17="famous faces",4,IF(J17="famous names",4,IF(J17="famous voices",4,IF(J17="television programs",4,IF(J17="race horses",4,IF(J17="new vocabulary",4,IF(J17="sentences",5,IF(J17="concepts",5,IF(J17="ad slides",5,IF(J17="scenes",5,IF(J17="famous scenes",5,IF(J17="poems",6,IF(J17="walk",6,IF(J17="faces and events",6,IF(J17="events and names",6,IF(J17="flashbulb",7,IF(J17="stories",7,IF(J17="course material",7,IF(J17="autobiographical",7,IF(J17="novels",7,IF(J17="public events",7,"99"))))))))))))))))))))))))))))))))))))))))))))))</f>
        <v>1</v>
      </c>
      <c r="M17" s="32">
        <v>1</v>
      </c>
      <c r="N17" s="32">
        <v>3</v>
      </c>
      <c r="O17" s="32">
        <v>0</v>
      </c>
      <c r="P17" s="32"/>
      <c r="Q17" s="32" t="s">
        <v>18</v>
      </c>
      <c r="R17" s="32">
        <f>IF(Q17="Free Recall",1,IF(Q17="Cued Recall",2,IF(Q17="Recognition",3,IF(Q17="Multiple Choice",4,IF(Q17="Savings",5,IF(Q17="Stem Completion",6,IF(Q17="Fragment Completion",7,IF(Q17="anagram solution",8,IF(Q17="Matching",9,IF(Q17="Problem Solving",10,"99"))))))))))</f>
        <v>3</v>
      </c>
      <c r="S17" s="32" t="s">
        <v>196</v>
      </c>
      <c r="T17" s="31" t="s">
        <v>132</v>
      </c>
      <c r="U17" s="32">
        <f>IF(T17="within",1,0)</f>
        <v>1</v>
      </c>
      <c r="V17" s="31">
        <v>63</v>
      </c>
      <c r="W17" s="32">
        <f>F17*V17</f>
        <v>1827</v>
      </c>
      <c r="X17" s="32">
        <v>3</v>
      </c>
      <c r="Y17" s="41">
        <f>AV16</f>
        <v>473</v>
      </c>
      <c r="Z17" s="32" t="s">
        <v>59</v>
      </c>
      <c r="AA17" s="32">
        <v>1209600</v>
      </c>
      <c r="AB17" s="32" t="str">
        <f>IF(AA17&lt;60,"1",IF(AA17&lt;=43200,"2",IF(AA17&lt;=777600,"3","4")))</f>
        <v>4</v>
      </c>
      <c r="AC17" s="28">
        <f>AVERAGE(AV16:DA16)</f>
        <v>604957.66666666663</v>
      </c>
      <c r="AD17" s="32" t="str">
        <f>IF(AC17&lt;60,"1",IF(AC17&lt;=43200,"2",IF(AC17&lt;=777600,"3","4")))</f>
        <v>3</v>
      </c>
      <c r="AE17" s="41">
        <f>AA17-Y17</f>
        <v>1209127</v>
      </c>
      <c r="AF17" s="45">
        <f>AV17</f>
        <v>0.64</v>
      </c>
      <c r="AG17" s="28">
        <f>((AW17-AV17)+(AX17-AW17))/2</f>
        <v>-0.11500000000000002</v>
      </c>
      <c r="AH17" s="4"/>
      <c r="AI17" s="28">
        <f>RSQ(AV17:AX17,AV16:AX16)</f>
        <v>0.92904097331137769</v>
      </c>
      <c r="AJ17" s="51">
        <f>SLOPE(AV17:AX17,AV16:AX16)</f>
        <v>-1.9020801337349981E-7</v>
      </c>
      <c r="AK17" s="28">
        <f>INTERCEPT(AV17:AX17,AV16:AX16)</f>
        <v>0.62173446261840115</v>
      </c>
      <c r="AL17" s="28">
        <f>INDEX(LINEST(LN(AV17:AX17),LN(AV16:AX16),TRUE,TRUE),3,1)</f>
        <v>0.95060329336212435</v>
      </c>
      <c r="AM17" s="28">
        <f>INDEX(LINEST(LN(AV17:AX17),LN(AV16:AX16)),1)</f>
        <v>-5.1203070795816458E-2</v>
      </c>
      <c r="AN17" s="28">
        <f>EXP(INDEX(LINEST(LN(AV17:AX17),LN(AV16:AX16)),1,2))</f>
        <v>0.88139314673581204</v>
      </c>
      <c r="AO17" s="47">
        <f>INDEX(LINEST((AV17:AX17),LN(AV16:AX16),TRUE,TRUE),3,1)</f>
        <v>0.96991849224265103</v>
      </c>
      <c r="AP17" s="47">
        <f>INDEX(LINEST((AV17:AX17),LN(AV16:AX16)),1)</f>
        <v>-2.7047437235873616E-2</v>
      </c>
      <c r="AQ17" s="48">
        <f>INDEX(LINEST(LN(AV17:AX17),SQRT(AV16:AX16),TRUE,TRUE),3,1)</f>
        <v>0.99992488954526015</v>
      </c>
      <c r="AR17" s="56">
        <f>INDEX(LINEST(LN(AV17:AX17),SQRT((AV16:AX16))),1)</f>
        <v>-4.1223327940972558E-4</v>
      </c>
      <c r="AS17" s="49">
        <f>INDEX(LINEST(1/(AV17:AX17),1/(SQRT(AV16:AX16)),TRUE,TRUE),3,1)</f>
        <v>0.88197387896279078</v>
      </c>
      <c r="AT17" s="49">
        <f>INDEX(LINEST(1/(AV17:AX17),1/SQRT(AV16:AX16)),1)</f>
        <v>-16.103456879274351</v>
      </c>
      <c r="AU17" s="3"/>
      <c r="AV17" s="25">
        <v>0.64</v>
      </c>
      <c r="AW17" s="25">
        <v>0.47</v>
      </c>
      <c r="AX17" s="25">
        <v>0.41</v>
      </c>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1"/>
      <c r="CS17" s="1"/>
      <c r="CT17" s="1"/>
      <c r="CU17" s="1"/>
    </row>
    <row r="18" spans="1:99" s="60" customFormat="1" ht="12" customHeight="1" x14ac:dyDescent="0.2">
      <c r="A18" s="94">
        <v>43509</v>
      </c>
      <c r="B18" s="101"/>
      <c r="C18" s="101"/>
      <c r="D18" s="77"/>
      <c r="E18" s="98"/>
      <c r="F18" s="77"/>
      <c r="G18" s="77"/>
      <c r="H18" s="77"/>
      <c r="I18" s="77"/>
      <c r="J18" s="77"/>
      <c r="K18" s="102"/>
      <c r="L18" s="102"/>
      <c r="M18" s="77"/>
      <c r="N18" s="77"/>
      <c r="O18" s="77"/>
      <c r="P18" s="77"/>
      <c r="Q18" s="77"/>
      <c r="R18" s="77"/>
      <c r="S18" s="77"/>
      <c r="T18" s="96"/>
      <c r="U18" s="32"/>
      <c r="V18" s="77"/>
      <c r="W18" s="77"/>
      <c r="X18" s="77"/>
      <c r="Y18" s="98"/>
      <c r="Z18" s="77"/>
      <c r="AA18" s="77"/>
      <c r="AB18" s="77"/>
      <c r="AC18" s="77"/>
      <c r="AD18" s="77"/>
      <c r="AE18" s="77"/>
      <c r="AF18" s="99"/>
      <c r="AG18" s="100"/>
      <c r="AH18" s="84"/>
      <c r="AI18" s="100"/>
      <c r="AJ18" s="105"/>
      <c r="AK18" s="100"/>
      <c r="AL18" s="100"/>
      <c r="AM18" s="100"/>
      <c r="AN18" s="100"/>
      <c r="AO18" s="100"/>
      <c r="AP18" s="100"/>
      <c r="AQ18" s="100"/>
      <c r="AR18" s="105"/>
      <c r="AS18" s="100"/>
      <c r="AT18" s="100"/>
      <c r="AU18" s="62"/>
      <c r="AV18" s="64">
        <f>10*7*24*60*60</f>
        <v>6048000</v>
      </c>
      <c r="AW18" s="64">
        <f>16*7*24*60*60</f>
        <v>9676800</v>
      </c>
      <c r="AX18" s="64">
        <f>31*7*24*60*60</f>
        <v>18748800</v>
      </c>
      <c r="AY18" s="64">
        <f>58*7*24*60*60</f>
        <v>35078400</v>
      </c>
      <c r="AZ18" s="64">
        <f>110*7*24*60*60</f>
        <v>66528000</v>
      </c>
      <c r="BA18" s="65"/>
      <c r="BB18" s="65"/>
      <c r="BC18" s="65"/>
      <c r="BD18" s="65"/>
      <c r="BE18" s="65"/>
      <c r="BF18" s="65"/>
      <c r="BG18" s="65"/>
      <c r="BH18" s="65"/>
      <c r="BI18" s="65"/>
      <c r="BJ18" s="65"/>
      <c r="BK18" s="65"/>
      <c r="BL18" s="61"/>
      <c r="BM18" s="61"/>
      <c r="BN18" s="61"/>
      <c r="BO18" s="61"/>
      <c r="BP18" s="61"/>
      <c r="BQ18" s="61"/>
      <c r="BR18" s="61"/>
      <c r="BS18" s="61"/>
      <c r="BT18" s="61"/>
      <c r="BU18" s="61"/>
      <c r="BV18" s="61"/>
      <c r="BW18" s="61"/>
      <c r="BX18" s="61"/>
      <c r="BY18" s="61"/>
      <c r="BZ18" s="61"/>
      <c r="CA18" s="61"/>
      <c r="CB18" s="61"/>
      <c r="CC18" s="61"/>
      <c r="CD18" s="61"/>
      <c r="CE18" s="61"/>
      <c r="CF18" s="61"/>
      <c r="CG18" s="61"/>
      <c r="CH18" s="61"/>
      <c r="CI18" s="61"/>
      <c r="CJ18" s="61"/>
      <c r="CK18" s="61"/>
      <c r="CL18" s="61"/>
      <c r="CM18" s="61"/>
      <c r="CN18" s="61"/>
      <c r="CO18" s="61"/>
      <c r="CP18" s="61"/>
      <c r="CQ18" s="61"/>
      <c r="CR18" s="59"/>
      <c r="CS18" s="59"/>
      <c r="CT18" s="59"/>
      <c r="CU18" s="59"/>
    </row>
    <row r="19" spans="1:99" s="60" customFormat="1" ht="12" customHeight="1" x14ac:dyDescent="0.2">
      <c r="A19" s="94">
        <v>43509</v>
      </c>
      <c r="B19" s="101" t="s">
        <v>225</v>
      </c>
      <c r="C19" s="101" t="s">
        <v>204</v>
      </c>
      <c r="D19" s="77">
        <v>1972</v>
      </c>
      <c r="E19" s="98">
        <v>1</v>
      </c>
      <c r="F19" s="77">
        <v>4</v>
      </c>
      <c r="G19" s="77">
        <v>4</v>
      </c>
      <c r="H19" s="77" t="s">
        <v>90</v>
      </c>
      <c r="I19" s="77" t="s">
        <v>209</v>
      </c>
      <c r="J19" s="77" t="s">
        <v>226</v>
      </c>
      <c r="K19" s="77" t="str">
        <f>IF(J19="syllables","1",IF(J19="trigrams","2",IF(J19="strings","3",IF(J19="visual array","4",IF(J19="characters","5",IF(J19="letters","6",IF(J19="free forms","7",IF(J19="odors","8",IF(J19="words","9",IF(J19="pictures","10",IF(J19="object pictures","11",IF(J19="faces","12",IF(J19="names","13",IF(J19="idioms","14",IF(J19="grades","15",IF(J19="syllable-digit pairs","16",IF(J19="trigram-word pairs","17",IF(J19="word-digit pairs","18",IF(J19="English-Swahili pairs","19",IF(J19="spatial position","20",IF(J19="word pairs","21",IF(J19="word triads","22",IF(J19="generated words","23",IF(J19="word definition pairs","24",IF(J19="math problems","25",IF(J19="famous faces","26",IF(J19="famous names","27",IF(J19="famous voices","28",IF(J19="television programs","29",IF(J19="race horses","30",IF(J19="new vocabulary","31",IF(J19="sentences","32",IF(J19="concepts","33",IF(J19="ad slides","34",IF(J19="scenes","35",IF(J19="famous scenes","36",IF(J19="poems","37",IF(J19="walk","38",IF(J19="faces and events","39",IF(J19="events and names","40",IF(J19="flashbulb","41",IF(J19="stories","42",IF(J19="course material","43",IF(J19="autobiographical","44",IF(J19="novels","45",IF(J19="public events","46",IF(J19="order","90","99")))))))))))))))))))))))))))))))))))))))))))))))</f>
        <v>99</v>
      </c>
      <c r="L19" s="77" t="str">
        <f>IF(J19="syllables","1",IF(J19="trigrams","1",IF(J19="strings","1",IF(J19="visual array","1",IF(J19="characters","1",IF(J19="letters","1",IF(J19="free forms","1",IF(J19="odors","2",IF(J19="words","2",IF(J19="pictures","2",IF(J19="object pictures","2",IF(J19="faces","2",IF(J19="names","2",IF(J19="idioms","2",IF(J19="grades","2",IF(J19="syllable-digit pairs","3",IF(J19="trigram-word pairs","3",IF(J19="word-digit pairs","3",IF(J19="English-Swahili pairs","3",IF(J19="spatial position","3",IF(J19="word pairs","4",IF(J19="word triads","4",IF(J19="generated words","4",IF(J19="word definition pairs","4",IF(J19="math problems","4",IF(J19="famous faces","4",IF(J19="famous names","4",IF(J19="famous voices","4",IF(J19="television programs","4",IF(J19="race horses","4",IF(J19="new vocabulary","4",IF(J19="sentences","5",IF(J19="concepts","5",IF(J19="ad slides","5",IF(J19="scenes","5",IF(J19="famous scenes","5",IF(J19="poems","6",IF(J19="walk","6",IF(J19="faces and events","6",IF(J19="events and names","6",IF(J19="flashbulb","7",IF(J19="stories","7",IF(J19="course material","7",IF(J19="autobiographical","7",IF(J19="novels","7",IF(J19="public events","7",IF(J19="order","90","99")))))))))))))))))))))))))))))))))))))))))))))))</f>
        <v>99</v>
      </c>
      <c r="M19" s="77" t="s">
        <v>213</v>
      </c>
      <c r="N19" s="77">
        <v>3</v>
      </c>
      <c r="O19" s="77" t="s">
        <v>195</v>
      </c>
      <c r="P19" s="77"/>
      <c r="Q19" s="77" t="s">
        <v>18</v>
      </c>
      <c r="R19" s="77" t="str">
        <f>IF(Q19="Free Recall","1",IF(Q19="Cued Recall","2",IF(Q19="Recognition","3",IF(Q19="Multiple Choice","4",IF(Q19="Savings","5",IF(Q19="Stem Completion","6",IF(Q19="Fragment Completion","7",IF(Q19="anagram solution","8",IF(Q19="Matching","9",IF(Q19="Problem Solving","10","99"))))))))))</f>
        <v>3</v>
      </c>
      <c r="S19" s="77" t="s">
        <v>196</v>
      </c>
      <c r="T19" s="96" t="s">
        <v>132</v>
      </c>
      <c r="U19" s="32">
        <f>IF(T19="within",1,0)</f>
        <v>1</v>
      </c>
      <c r="V19" s="96">
        <v>240</v>
      </c>
      <c r="W19" s="77">
        <f>F19*V19</f>
        <v>960</v>
      </c>
      <c r="X19" s="77">
        <v>5</v>
      </c>
      <c r="Y19" s="98">
        <f>AV18</f>
        <v>6048000</v>
      </c>
      <c r="Z19" s="77" t="s">
        <v>227</v>
      </c>
      <c r="AA19" s="98">
        <f>110*7*24*60*60</f>
        <v>66528000</v>
      </c>
      <c r="AB19" s="77" t="str">
        <f>IF(AA19&lt;60,"1",IF(AA19&lt;=43200,"2",IF(AA19&lt;=777600,"3","4")))</f>
        <v>4</v>
      </c>
      <c r="AC19" s="100">
        <f>AVERAGE(AV18:DA18)</f>
        <v>27216000</v>
      </c>
      <c r="AD19" s="77" t="str">
        <f>IF(AC19&lt;60,"1",IF(AC19&lt;=43200,"2",IF(AC19&lt;=777600,"3","4")))</f>
        <v>4</v>
      </c>
      <c r="AE19" s="98">
        <f>AA19-Y19</f>
        <v>60480000</v>
      </c>
      <c r="AF19" s="99">
        <f>AV19</f>
        <v>2.86</v>
      </c>
      <c r="AG19" s="100">
        <f>((AW19-AV19)+(AX19-AW19)+(AY19-AX19)+(AZ19-AY19))/4</f>
        <v>-0.38999999999999996</v>
      </c>
      <c r="AH19" s="84"/>
      <c r="AI19" s="100">
        <f>RSQ(AV19:AZ19,AV18:AZ18)</f>
        <v>0.8422780001894512</v>
      </c>
      <c r="AJ19" s="105">
        <f>SLOPE(AV19:AZ19,AV18:AZ18)</f>
        <v>-2.3740862363909239E-8</v>
      </c>
      <c r="AK19" s="100">
        <f>INTERCEPT(AV19:AZ19,AV18:AZ18)</f>
        <v>2.7161313100961539</v>
      </c>
      <c r="AL19" s="100">
        <f>INDEX(LINEST(LN(AV19:AZ19),LN(AV18:AZ18),TRUE,TRUE),3,1)</f>
        <v>0.99428771160653739</v>
      </c>
      <c r="AM19" s="100">
        <f>INDEX(LINEST(LN(AV19:AZ19),LN(AV18:AZ18)),1)</f>
        <v>-0.33027216480459509</v>
      </c>
      <c r="AN19" s="100">
        <f>EXP(INDEX(LINEST(LN(AV19:AZ19),LN(AV18:AZ18)),1,2))</f>
        <v>505.40325802479964</v>
      </c>
      <c r="AO19" s="104">
        <f>INDEX(LINEST((AV19:AZ19),LN(AV18:AZ18),TRUE,TRUE),3,1)</f>
        <v>0.98743533185117904</v>
      </c>
      <c r="AP19" s="104">
        <f>INDEX(LINEST((AV19:AZ19),LN(AV18:AZ18)),1)</f>
        <v>-0.65832389951772197</v>
      </c>
      <c r="AQ19" s="48">
        <f>INDEX(LINEST(LN(AV19:AZ19),SQRT(AV18:AZ18),TRUE,TRUE),3,1)</f>
        <v>0.97511664300773282</v>
      </c>
      <c r="AR19" s="56">
        <f>INDEX(LINEST(LN(AV19:AZ19),SQRT((AV18:AZ18))),1)</f>
        <v>-1.372503446023504E-4</v>
      </c>
      <c r="AS19" s="49">
        <f>INDEX(LINEST(1/(AV19:AZ19),1/(SQRT(AV18:AZ18)),TRUE,TRUE),3,1)</f>
        <v>0.90583365072669764</v>
      </c>
      <c r="AT19" s="49">
        <f>INDEX(LINEST(1/(AV19:AZ19),1/SQRT(AV18:AZ18)),1)</f>
        <v>-1398.9208829100799</v>
      </c>
      <c r="AU19" s="63"/>
      <c r="AV19" s="65">
        <v>2.86</v>
      </c>
      <c r="AW19" s="65">
        <v>2.56</v>
      </c>
      <c r="AX19" s="65">
        <v>1.96</v>
      </c>
      <c r="AY19" s="65">
        <v>1.67</v>
      </c>
      <c r="AZ19" s="65">
        <v>1.3</v>
      </c>
      <c r="BA19" s="65"/>
      <c r="BB19" s="65"/>
      <c r="BC19" s="65"/>
      <c r="BD19" s="65"/>
      <c r="BE19" s="65"/>
      <c r="BF19" s="65"/>
      <c r="BG19" s="65"/>
      <c r="BH19" s="65"/>
      <c r="BI19" s="65"/>
      <c r="BJ19" s="65"/>
      <c r="BK19" s="65"/>
      <c r="BL19" s="61"/>
      <c r="BM19" s="61"/>
      <c r="BN19" s="61"/>
      <c r="BO19" s="61"/>
      <c r="BP19" s="61"/>
      <c r="BQ19" s="61"/>
      <c r="BR19" s="61"/>
      <c r="BS19" s="61"/>
      <c r="BT19" s="61"/>
      <c r="BU19" s="61"/>
      <c r="BV19" s="61"/>
      <c r="BW19" s="61"/>
      <c r="BX19" s="61"/>
      <c r="BY19" s="61"/>
      <c r="BZ19" s="61"/>
      <c r="CA19" s="61"/>
      <c r="CB19" s="61"/>
      <c r="CC19" s="61"/>
      <c r="CD19" s="61"/>
      <c r="CE19" s="61"/>
      <c r="CF19" s="61"/>
      <c r="CG19" s="61"/>
      <c r="CH19" s="61"/>
      <c r="CI19" s="61"/>
      <c r="CJ19" s="61"/>
      <c r="CK19" s="61"/>
      <c r="CL19" s="61"/>
      <c r="CM19" s="61"/>
      <c r="CN19" s="61"/>
      <c r="CO19" s="61"/>
      <c r="CP19" s="61"/>
      <c r="CQ19" s="61"/>
      <c r="CR19" s="59"/>
      <c r="CS19" s="59"/>
      <c r="CT19" s="59"/>
      <c r="CU19" s="59"/>
    </row>
    <row r="20" spans="1:99" s="60" customFormat="1" ht="12" customHeight="1" x14ac:dyDescent="0.2">
      <c r="A20" s="94">
        <v>43509</v>
      </c>
      <c r="B20" s="101"/>
      <c r="C20" s="101"/>
      <c r="D20" s="77"/>
      <c r="E20" s="98"/>
      <c r="F20" s="77"/>
      <c r="G20" s="77"/>
      <c r="H20" s="77"/>
      <c r="I20" s="77"/>
      <c r="J20" s="77"/>
      <c r="K20" s="102"/>
      <c r="L20" s="102"/>
      <c r="M20" s="77"/>
      <c r="N20" s="77"/>
      <c r="O20" s="77"/>
      <c r="P20" s="77"/>
      <c r="Q20" s="77"/>
      <c r="R20" s="77"/>
      <c r="S20" s="77"/>
      <c r="T20" s="96"/>
      <c r="U20" s="32"/>
      <c r="V20" s="77"/>
      <c r="W20" s="77"/>
      <c r="X20" s="77"/>
      <c r="Y20" s="98"/>
      <c r="Z20" s="77"/>
      <c r="AA20" s="77"/>
      <c r="AB20" s="77"/>
      <c r="AC20" s="77"/>
      <c r="AD20" s="77"/>
      <c r="AE20" s="77"/>
      <c r="AF20" s="99"/>
      <c r="AG20" s="100"/>
      <c r="AH20" s="84"/>
      <c r="AI20" s="100"/>
      <c r="AJ20" s="105"/>
      <c r="AK20" s="100"/>
      <c r="AL20" s="100"/>
      <c r="AM20" s="100"/>
      <c r="AN20" s="100"/>
      <c r="AO20" s="100"/>
      <c r="AP20" s="100"/>
      <c r="AQ20" s="100"/>
      <c r="AR20" s="105"/>
      <c r="AS20" s="100"/>
      <c r="AT20" s="100"/>
      <c r="AU20" s="62"/>
      <c r="AV20" s="64">
        <f>10*7*24*60*60</f>
        <v>6048000</v>
      </c>
      <c r="AW20" s="64">
        <f>16*7*24*60*60</f>
        <v>9676800</v>
      </c>
      <c r="AX20" s="64">
        <f>31*7*24*60*60</f>
        <v>18748800</v>
      </c>
      <c r="AY20" s="64">
        <f>58*7*24*60*60</f>
        <v>35078400</v>
      </c>
      <c r="AZ20" s="64">
        <f>110*7*24*60*60</f>
        <v>66528000</v>
      </c>
      <c r="BA20" s="65"/>
      <c r="BB20" s="65"/>
      <c r="BC20" s="65"/>
      <c r="BD20" s="65"/>
      <c r="BE20" s="65"/>
      <c r="BF20" s="65"/>
      <c r="BG20" s="65"/>
      <c r="BH20" s="65"/>
      <c r="BI20" s="65"/>
      <c r="BJ20" s="65"/>
      <c r="BK20" s="65"/>
      <c r="BL20" s="61"/>
      <c r="BM20" s="61"/>
      <c r="BN20" s="61"/>
      <c r="BO20" s="61"/>
      <c r="BP20" s="61"/>
      <c r="BQ20" s="61"/>
      <c r="BR20" s="61"/>
      <c r="BS20" s="61"/>
      <c r="BT20" s="61"/>
      <c r="BU20" s="61"/>
      <c r="BV20" s="61"/>
      <c r="BW20" s="61"/>
      <c r="BX20" s="61"/>
      <c r="BY20" s="61"/>
      <c r="BZ20" s="61"/>
      <c r="CA20" s="61"/>
      <c r="CB20" s="61"/>
      <c r="CC20" s="61"/>
      <c r="CD20" s="61"/>
      <c r="CE20" s="61"/>
      <c r="CF20" s="61"/>
      <c r="CG20" s="61"/>
      <c r="CH20" s="61"/>
      <c r="CI20" s="61"/>
      <c r="CJ20" s="61"/>
      <c r="CK20" s="61"/>
      <c r="CL20" s="61"/>
      <c r="CM20" s="61"/>
      <c r="CN20" s="61"/>
      <c r="CO20" s="61"/>
      <c r="CP20" s="61"/>
      <c r="CQ20" s="61"/>
      <c r="CR20" s="59"/>
      <c r="CS20" s="59"/>
      <c r="CT20" s="59"/>
      <c r="CU20" s="59"/>
    </row>
    <row r="21" spans="1:99" s="60" customFormat="1" ht="12" customHeight="1" x14ac:dyDescent="0.2">
      <c r="A21" s="94">
        <v>43509</v>
      </c>
      <c r="B21" s="101" t="s">
        <v>225</v>
      </c>
      <c r="C21" s="101" t="s">
        <v>204</v>
      </c>
      <c r="D21" s="77">
        <v>1972</v>
      </c>
      <c r="E21" s="98">
        <v>1</v>
      </c>
      <c r="F21" s="77">
        <v>4</v>
      </c>
      <c r="G21" s="77">
        <v>4</v>
      </c>
      <c r="H21" s="77" t="s">
        <v>90</v>
      </c>
      <c r="I21" s="77" t="s">
        <v>211</v>
      </c>
      <c r="J21" s="77" t="s">
        <v>226</v>
      </c>
      <c r="K21" s="77" t="str">
        <f>IF(J21="syllables","1",IF(J21="trigrams","2",IF(J21="strings","3",IF(J21="visual array","4",IF(J21="characters","5",IF(J21="letters","6",IF(J21="free forms","7",IF(J21="odors","8",IF(J21="words","9",IF(J21="pictures","10",IF(J21="object pictures","11",IF(J21="faces","12",IF(J21="names","13",IF(J21="idioms","14",IF(J21="grades","15",IF(J21="syllable-digit pairs","16",IF(J21="trigram-word pairs","17",IF(J21="word-digit pairs","18",IF(J21="English-Swahili pairs","19",IF(J21="spatial position","20",IF(J21="word pairs","21",IF(J21="word triads","22",IF(J21="generated words","23",IF(J21="word definition pairs","24",IF(J21="math problems","25",IF(J21="famous faces","26",IF(J21="famous names","27",IF(J21="famous voices","28",IF(J21="television programs","29",IF(J21="race horses","30",IF(J21="new vocabulary","31",IF(J21="sentences","32",IF(J21="concepts","33",IF(J21="ad slides","34",IF(J21="scenes","35",IF(J21="famous scenes","36",IF(J21="poems","37",IF(J21="walk","38",IF(J21="faces and events","39",IF(J21="events and names","40",IF(J21="flashbulb","41",IF(J21="stories","42",IF(J21="course material","43",IF(J21="autobiographical","44",IF(J21="novels","45",IF(J21="public events","46",IF(J21="order","90","99")))))))))))))))))))))))))))))))))))))))))))))))</f>
        <v>99</v>
      </c>
      <c r="L21" s="77" t="str">
        <f>IF(J21="syllables","1",IF(J21="trigrams","1",IF(J21="strings","1",IF(J21="visual array","1",IF(J21="characters","1",IF(J21="letters","1",IF(J21="free forms","1",IF(J21="odors","2",IF(J21="words","2",IF(J21="pictures","2",IF(J21="object pictures","2",IF(J21="faces","2",IF(J21="names","2",IF(J21="idioms","2",IF(J21="grades","2",IF(J21="syllable-digit pairs","3",IF(J21="trigram-word pairs","3",IF(J21="word-digit pairs","3",IF(J21="English-Swahili pairs","3",IF(J21="spatial position","3",IF(J21="word pairs","4",IF(J21="word triads","4",IF(J21="generated words","4",IF(J21="word definition pairs","4",IF(J21="math problems","4",IF(J21="famous faces","4",IF(J21="famous names","4",IF(J21="famous voices","4",IF(J21="television programs","4",IF(J21="race horses","4",IF(J21="new vocabulary","4",IF(J21="sentences","5",IF(J21="concepts","5",IF(J21="ad slides","5",IF(J21="scenes","5",IF(J21="famous scenes","5",IF(J21="poems","6",IF(J21="walk","6",IF(J21="faces and events","6",IF(J21="events and names","6",IF(J21="flashbulb","7",IF(J21="stories","7",IF(J21="course material","7",IF(J21="autobiographical","7",IF(J21="novels","7",IF(J21="public events","7",IF(J21="order","90","99")))))))))))))))))))))))))))))))))))))))))))))))</f>
        <v>99</v>
      </c>
      <c r="M21" s="77" t="s">
        <v>213</v>
      </c>
      <c r="N21" s="77">
        <v>3</v>
      </c>
      <c r="O21" s="77" t="s">
        <v>195</v>
      </c>
      <c r="P21" s="77"/>
      <c r="Q21" s="77" t="s">
        <v>18</v>
      </c>
      <c r="R21" s="77" t="str">
        <f>IF(Q21="Free Recall","1",IF(Q21="Cued Recall","2",IF(Q21="Recognition","3",IF(Q21="Multiple Choice","4",IF(Q21="Savings","5",IF(Q21="Stem Completion","6",IF(Q21="Fragment Completion","7",IF(Q21="anagram solution","8",IF(Q21="Matching","9",IF(Q21="Problem Solving","10","99"))))))))))</f>
        <v>3</v>
      </c>
      <c r="S21" s="77" t="s">
        <v>196</v>
      </c>
      <c r="T21" s="96" t="s">
        <v>132</v>
      </c>
      <c r="U21" s="32">
        <f>IF(T21="within",1,0)</f>
        <v>1</v>
      </c>
      <c r="V21" s="96">
        <v>240</v>
      </c>
      <c r="W21" s="77">
        <f>F21*V21</f>
        <v>960</v>
      </c>
      <c r="X21" s="77">
        <v>5</v>
      </c>
      <c r="Y21" s="98">
        <f>AV20</f>
        <v>6048000</v>
      </c>
      <c r="Z21" s="77" t="s">
        <v>227</v>
      </c>
      <c r="AA21" s="98">
        <f>110*7*24*60*60</f>
        <v>66528000</v>
      </c>
      <c r="AB21" s="77" t="str">
        <f>IF(AA21&lt;60,"1",IF(AA21&lt;=43200,"2",IF(AA21&lt;=777600,"3","4")))</f>
        <v>4</v>
      </c>
      <c r="AC21" s="100">
        <f>AVERAGE(AV20:DA20)</f>
        <v>27216000</v>
      </c>
      <c r="AD21" s="77" t="str">
        <f>IF(AC21&lt;60,"1",IF(AC21&lt;=43200,"2",IF(AC21&lt;=777600,"3","4")))</f>
        <v>4</v>
      </c>
      <c r="AE21" s="98">
        <f>AA21-Y21</f>
        <v>60480000</v>
      </c>
      <c r="AF21" s="99">
        <f>AV21</f>
        <v>1.03</v>
      </c>
      <c r="AG21" s="100">
        <f>((AW21-AV21)+(AX21-AW21)+(AY21-AX21)+(AZ21-AY21))/4</f>
        <v>-0.10250000000000001</v>
      </c>
      <c r="AH21" s="84"/>
      <c r="AI21" s="100">
        <f>RSQ(AV21:AZ21,AV20:AZ20)</f>
        <v>0.70753327836023083</v>
      </c>
      <c r="AJ21" s="105">
        <f>SLOPE(AV21:AZ21,AV20:AZ20)</f>
        <v>-6.1606506919006917E-9</v>
      </c>
      <c r="AK21" s="100">
        <f>INTERCEPT(AV21:AZ21,AV20:AZ20)</f>
        <v>0.9576682692307692</v>
      </c>
      <c r="AL21" s="100">
        <f>INDEX(LINEST(LN(AV21:AZ21),LN(AV20:AZ20),TRUE,TRUE),3,1)</f>
        <v>0.88939117315288863</v>
      </c>
      <c r="AM21" s="100">
        <f>INDEX(LINEST(LN(AV21:AZ21),LN(AV20:AZ20)),1)</f>
        <v>-0.22657487568664167</v>
      </c>
      <c r="AN21" s="100">
        <f>EXP(INDEX(LINEST(LN(AV21:AZ21),LN(AV20:AZ20)),1,2))</f>
        <v>34.533411804716984</v>
      </c>
      <c r="AO21" s="104">
        <f>INDEX(LINEST((AV21:AZ21),LN(AV20:AZ20),TRUE,TRUE),3,1)</f>
        <v>0.89522513284079741</v>
      </c>
      <c r="AP21" s="104">
        <f>INDEX(LINEST((AV21:AZ21),LN(AV20:AZ20)),1)</f>
        <v>-0.17747443868928706</v>
      </c>
      <c r="AQ21" s="48">
        <f>INDEX(LINEST(LN(AV21:AZ21),SQRT(AV20:AZ20),TRUE,TRUE),3,1)</f>
        <v>0.82450611702499044</v>
      </c>
      <c r="AR21" s="56">
        <f>INDEX(LINEST(LN(AV21:AZ21),SQRT((AV20:AZ20))),1)</f>
        <v>-9.154434168646294E-5</v>
      </c>
      <c r="AS21" s="49">
        <f>INDEX(LINEST(1/(AV21:AZ21),1/(SQRT(AV20:AZ20)),TRUE,TRUE),3,1)</f>
        <v>0.86596372839355162</v>
      </c>
      <c r="AT21" s="49">
        <f>INDEX(LINEST(1/(AV21:AZ21),1/SQRT(AV20:AZ20)),1)</f>
        <v>-2463.6838683717115</v>
      </c>
      <c r="AU21" s="63"/>
      <c r="AV21" s="65">
        <v>1.03</v>
      </c>
      <c r="AW21" s="65">
        <v>0.87</v>
      </c>
      <c r="AX21" s="65">
        <v>0.83</v>
      </c>
      <c r="AY21" s="65">
        <v>0.6</v>
      </c>
      <c r="AZ21" s="65">
        <v>0.62</v>
      </c>
      <c r="BA21" s="65"/>
      <c r="BB21" s="65"/>
      <c r="BC21" s="65"/>
      <c r="BD21" s="65"/>
      <c r="BE21" s="65"/>
      <c r="BF21" s="65"/>
      <c r="BG21" s="65"/>
      <c r="BH21" s="65"/>
      <c r="BI21" s="65"/>
      <c r="BJ21" s="65"/>
      <c r="BK21" s="65"/>
      <c r="BL21" s="61"/>
      <c r="BM21" s="61"/>
      <c r="BN21" s="61"/>
      <c r="BO21" s="61"/>
      <c r="BP21" s="61"/>
      <c r="BQ21" s="61"/>
      <c r="BR21" s="61"/>
      <c r="BS21" s="61"/>
      <c r="BT21" s="61"/>
      <c r="BU21" s="61"/>
      <c r="BV21" s="61"/>
      <c r="BW21" s="61"/>
      <c r="BX21" s="61"/>
      <c r="BY21" s="61"/>
      <c r="BZ21" s="61"/>
      <c r="CA21" s="61"/>
      <c r="CB21" s="61"/>
      <c r="CC21" s="61"/>
      <c r="CD21" s="61"/>
      <c r="CE21" s="61"/>
      <c r="CF21" s="61"/>
      <c r="CG21" s="61"/>
      <c r="CH21" s="61"/>
      <c r="CI21" s="61"/>
      <c r="CJ21" s="61"/>
      <c r="CK21" s="61"/>
      <c r="CL21" s="61"/>
      <c r="CM21" s="61"/>
      <c r="CN21" s="61"/>
      <c r="CO21" s="61"/>
      <c r="CP21" s="61"/>
      <c r="CQ21" s="61"/>
      <c r="CR21" s="59"/>
      <c r="CS21" s="59"/>
      <c r="CT21" s="59"/>
      <c r="CU21" s="59"/>
    </row>
    <row r="22" spans="1:99" ht="12" customHeight="1" x14ac:dyDescent="0.2">
      <c r="R22" s="32"/>
      <c r="Y22" s="36"/>
      <c r="AB22" s="32"/>
      <c r="AD22" s="32"/>
      <c r="AF22" s="36"/>
      <c r="AG22" s="36"/>
      <c r="AL22" s="68"/>
      <c r="AM22" s="70"/>
    </row>
    <row r="23" spans="1:99" ht="12" customHeight="1" x14ac:dyDescent="0.2">
      <c r="K23" s="32"/>
      <c r="R23" s="32"/>
      <c r="Y23" s="36"/>
      <c r="AB23" s="32"/>
      <c r="AD23" s="32"/>
      <c r="AF23" s="36"/>
      <c r="AG23" s="36"/>
      <c r="AL23" s="68" t="s">
        <v>135</v>
      </c>
      <c r="AM23" s="29">
        <f>AVERAGE(AM3:AM21)</f>
        <v>-0.10577115682526565</v>
      </c>
    </row>
    <row r="24" spans="1:99" ht="12" customHeight="1" x14ac:dyDescent="0.2">
      <c r="R24" s="32"/>
      <c r="Y24" s="36"/>
      <c r="AB24" s="32"/>
      <c r="AD24" s="32"/>
      <c r="AF24" s="29"/>
      <c r="AG24" s="74"/>
      <c r="AL24" s="23" t="s">
        <v>188</v>
      </c>
      <c r="AM24" s="29">
        <f>MEDIAN(AM3:AM21)</f>
        <v>-6.6636402488526508E-2</v>
      </c>
    </row>
    <row r="25" spans="1:99" ht="12" customHeight="1" x14ac:dyDescent="0.2">
      <c r="K25" s="32"/>
      <c r="R25" s="32"/>
      <c r="Y25" s="36"/>
      <c r="AB25" s="32"/>
      <c r="AD25" s="32"/>
      <c r="AF25" s="36"/>
      <c r="AG25" s="36"/>
      <c r="AL25" s="68" t="s">
        <v>167</v>
      </c>
      <c r="AM25" s="29">
        <f>MIN(AM3:AM21)</f>
        <v>-0.33027216480459509</v>
      </c>
    </row>
    <row r="26" spans="1:99" ht="12" customHeight="1" x14ac:dyDescent="0.2">
      <c r="R26" s="32"/>
      <c r="W26" s="32"/>
      <c r="Y26" s="41"/>
      <c r="AB26" s="32"/>
      <c r="AD26" s="32"/>
      <c r="AE26" s="32"/>
      <c r="AF26" s="45"/>
      <c r="AL26" s="68" t="s">
        <v>166</v>
      </c>
      <c r="AM26" s="29">
        <f>MAX(AM3:AM21)</f>
        <v>-1.1639941262594255E-2</v>
      </c>
    </row>
    <row r="27" spans="1:99" ht="12" customHeight="1" x14ac:dyDescent="0.2">
      <c r="K27" s="32"/>
      <c r="R27" s="32"/>
      <c r="W27" s="32"/>
      <c r="Y27" s="41"/>
      <c r="AB27" s="32"/>
      <c r="AD27" s="32"/>
      <c r="AE27" s="41"/>
      <c r="AF27" s="45"/>
      <c r="AL27" s="68" t="s">
        <v>168</v>
      </c>
      <c r="AM27" s="36">
        <f xml:space="preserve"> STDEV(AM3:AM21)</f>
        <v>0.10160770255471641</v>
      </c>
    </row>
    <row r="28" spans="1:99" ht="12" customHeight="1" x14ac:dyDescent="0.2">
      <c r="R28" s="32"/>
      <c r="W28" s="32"/>
      <c r="Y28" s="41"/>
      <c r="AB28" s="32"/>
      <c r="AD28" s="32"/>
      <c r="AE28" s="32"/>
      <c r="AF28" s="45"/>
      <c r="AL28" s="23" t="s">
        <v>187</v>
      </c>
      <c r="AM28" s="36">
        <f xml:space="preserve"> STDEV(AM3:AM21)/SQRT(COUNT(AM3:AM21))</f>
        <v>3.2131176788981322E-2</v>
      </c>
    </row>
    <row r="29" spans="1:99" ht="12" customHeight="1" x14ac:dyDescent="0.2">
      <c r="K29" s="32"/>
      <c r="L29" s="32"/>
      <c r="R29" s="32"/>
      <c r="W29" s="32"/>
      <c r="Y29" s="41"/>
      <c r="AB29" s="32"/>
      <c r="AE29" s="41"/>
      <c r="AF29" s="45"/>
      <c r="AL29" s="69"/>
      <c r="AM29" s="70"/>
    </row>
    <row r="30" spans="1:99" ht="12" customHeight="1" x14ac:dyDescent="0.2">
      <c r="R30" s="32"/>
      <c r="W30" s="32"/>
      <c r="Y30" s="41"/>
      <c r="AB30" s="32"/>
      <c r="AE30" s="32"/>
      <c r="AF30" s="45"/>
      <c r="AL30" s="69" t="s">
        <v>45</v>
      </c>
      <c r="AM30" s="70">
        <f>AM23-(3*AM27)</f>
        <v>-0.41059426448941488</v>
      </c>
    </row>
    <row r="31" spans="1:99" ht="12" customHeight="1" x14ac:dyDescent="0.2">
      <c r="K31" s="32"/>
      <c r="L31" s="32"/>
      <c r="R31" s="32"/>
      <c r="W31" s="32"/>
      <c r="Y31" s="41"/>
      <c r="AB31" s="32"/>
      <c r="AE31" s="41"/>
      <c r="AF31" s="45"/>
      <c r="AL31" s="69" t="s">
        <v>44</v>
      </c>
      <c r="AM31" s="70">
        <f>AM23+(3*AM27)</f>
        <v>0.19905195083888355</v>
      </c>
    </row>
    <row r="32" spans="1:99" ht="12" customHeight="1" x14ac:dyDescent="0.2">
      <c r="R32" s="32"/>
      <c r="W32" s="32"/>
      <c r="Y32" s="41"/>
      <c r="AB32" s="32"/>
      <c r="AE32" s="32"/>
      <c r="AF32" s="45"/>
    </row>
    <row r="33" spans="11:39" ht="12" customHeight="1" x14ac:dyDescent="0.2">
      <c r="K33" s="32"/>
      <c r="L33" s="32"/>
      <c r="R33" s="32"/>
      <c r="W33" s="32"/>
      <c r="Y33" s="41"/>
      <c r="AB33" s="32"/>
      <c r="AE33" s="41"/>
      <c r="AF33" s="45"/>
    </row>
    <row r="34" spans="11:39" ht="12" customHeight="1" x14ac:dyDescent="0.2">
      <c r="R34" s="32"/>
      <c r="W34" s="32"/>
      <c r="Y34" s="41"/>
      <c r="AB34" s="32"/>
      <c r="AE34" s="32"/>
      <c r="AF34" s="45"/>
      <c r="AM34" s="28"/>
    </row>
    <row r="35" spans="11:39" ht="12" customHeight="1" x14ac:dyDescent="0.2">
      <c r="K35" s="32"/>
      <c r="L35" s="32"/>
      <c r="R35" s="32"/>
      <c r="W35" s="32"/>
      <c r="Y35" s="41"/>
      <c r="AB35" s="32"/>
      <c r="AE35" s="41"/>
      <c r="AF35" s="45"/>
      <c r="AM35" s="28"/>
    </row>
    <row r="36" spans="11:39" ht="12" customHeight="1" x14ac:dyDescent="0.2">
      <c r="R36" s="32"/>
      <c r="W36" s="32"/>
      <c r="Y36" s="41"/>
      <c r="AB36" s="32"/>
      <c r="AE36" s="32"/>
      <c r="AF36" s="45"/>
      <c r="AM36" s="28"/>
    </row>
    <row r="37" spans="11:39" ht="12" customHeight="1" x14ac:dyDescent="0.2">
      <c r="K37" s="32"/>
      <c r="L37" s="32"/>
      <c r="R37" s="32"/>
      <c r="W37" s="32"/>
      <c r="Y37" s="41"/>
      <c r="AB37" s="32"/>
      <c r="AE37" s="41"/>
      <c r="AF37" s="45"/>
      <c r="AM37" s="28"/>
    </row>
    <row r="38" spans="11:39" ht="12" customHeight="1" x14ac:dyDescent="0.2">
      <c r="R38" s="32"/>
      <c r="W38" s="32"/>
      <c r="Y38" s="41"/>
      <c r="AB38" s="32"/>
      <c r="AE38" s="32"/>
      <c r="AF38" s="45"/>
      <c r="AM38" s="28"/>
    </row>
    <row r="39" spans="11:39" ht="12" customHeight="1" x14ac:dyDescent="0.2">
      <c r="K39" s="32"/>
      <c r="L39" s="32"/>
      <c r="R39" s="32"/>
      <c r="W39" s="32"/>
      <c r="Y39" s="41"/>
      <c r="AB39" s="32"/>
      <c r="AE39" s="41"/>
      <c r="AF39" s="45"/>
    </row>
    <row r="40" spans="11:39" ht="12" customHeight="1" x14ac:dyDescent="0.2">
      <c r="R40" s="32"/>
      <c r="W40" s="32"/>
      <c r="Y40" s="41"/>
      <c r="AB40" s="32"/>
      <c r="AE40" s="32"/>
      <c r="AF40" s="45"/>
    </row>
    <row r="41" spans="11:39" ht="12" customHeight="1" x14ac:dyDescent="0.2">
      <c r="K41" s="32"/>
      <c r="L41" s="32"/>
      <c r="R41" s="32"/>
      <c r="W41" s="32"/>
      <c r="Y41" s="41"/>
      <c r="AB41" s="32"/>
      <c r="AE41" s="41"/>
      <c r="AF41" s="45"/>
    </row>
    <row r="42" spans="11:39" ht="12" customHeight="1" x14ac:dyDescent="0.2">
      <c r="R42" s="32"/>
      <c r="W42" s="32"/>
      <c r="Y42" s="41"/>
      <c r="AB42" s="32"/>
      <c r="AE42" s="32"/>
      <c r="AF42" s="45"/>
    </row>
    <row r="43" spans="11:39" ht="12" customHeight="1" x14ac:dyDescent="0.2">
      <c r="K43" s="32"/>
      <c r="L43" s="32"/>
      <c r="R43" s="32"/>
      <c r="W43" s="32"/>
      <c r="Y43" s="41"/>
      <c r="AB43" s="32"/>
      <c r="AE43" s="41"/>
      <c r="AF43" s="45"/>
    </row>
    <row r="44" spans="11:39" ht="12" customHeight="1" x14ac:dyDescent="0.2">
      <c r="R44" s="32"/>
      <c r="W44" s="32"/>
      <c r="Y44" s="41"/>
      <c r="AB44" s="32"/>
      <c r="AE44" s="32"/>
      <c r="AF44" s="45"/>
    </row>
    <row r="45" spans="11:39" ht="12" customHeight="1" x14ac:dyDescent="0.2">
      <c r="K45" s="32"/>
      <c r="L45" s="32"/>
      <c r="R45" s="32"/>
      <c r="W45" s="32"/>
      <c r="Y45" s="41"/>
      <c r="AB45" s="32"/>
      <c r="AE45" s="41"/>
      <c r="AF45" s="45"/>
    </row>
    <row r="46" spans="11:39" ht="12" customHeight="1" x14ac:dyDescent="0.2">
      <c r="R46" s="32"/>
      <c r="W46" s="32"/>
      <c r="Y46" s="41"/>
      <c r="AB46" s="32"/>
      <c r="AE46" s="32"/>
      <c r="AF46" s="45"/>
    </row>
    <row r="47" spans="11:39" ht="12" customHeight="1" x14ac:dyDescent="0.2">
      <c r="K47" s="32"/>
      <c r="L47" s="32"/>
      <c r="R47" s="32"/>
      <c r="W47" s="32"/>
      <c r="Y47" s="41"/>
      <c r="AB47" s="32"/>
      <c r="AE47" s="41"/>
      <c r="AF47" s="45"/>
    </row>
    <row r="48" spans="11:39" ht="12" customHeight="1" x14ac:dyDescent="0.2">
      <c r="R48" s="32"/>
      <c r="W48" s="32"/>
      <c r="Y48" s="41"/>
      <c r="AB48" s="32"/>
      <c r="AE48" s="32"/>
      <c r="AF48" s="45"/>
    </row>
    <row r="49" spans="11:32" ht="12" customHeight="1" x14ac:dyDescent="0.2">
      <c r="K49" s="32"/>
      <c r="L49" s="32"/>
      <c r="R49" s="32"/>
      <c r="W49" s="32"/>
      <c r="Y49" s="41"/>
      <c r="AB49" s="32"/>
      <c r="AE49" s="41"/>
      <c r="AF49" s="45"/>
    </row>
    <row r="50" spans="11:32" ht="12" customHeight="1" x14ac:dyDescent="0.2">
      <c r="R50" s="32"/>
      <c r="W50" s="32"/>
      <c r="Y50" s="41"/>
      <c r="AB50" s="32"/>
      <c r="AE50" s="32"/>
      <c r="AF50" s="45"/>
    </row>
    <row r="51" spans="11:32" ht="12" customHeight="1" x14ac:dyDescent="0.2">
      <c r="K51" s="32"/>
      <c r="L51" s="32"/>
      <c r="R51" s="32"/>
      <c r="W51" s="32"/>
      <c r="Y51" s="41"/>
      <c r="AB51" s="32"/>
      <c r="AE51" s="41"/>
      <c r="AF51" s="45"/>
    </row>
    <row r="52" spans="11:32" ht="12" customHeight="1" x14ac:dyDescent="0.2">
      <c r="W52" s="32"/>
      <c r="Y52" s="41"/>
      <c r="AB52" s="32"/>
      <c r="AE52" s="32"/>
      <c r="AF52" s="45"/>
    </row>
    <row r="53" spans="11:32" ht="12" customHeight="1" x14ac:dyDescent="0.2">
      <c r="K53" s="32"/>
      <c r="L53" s="32"/>
      <c r="W53" s="32"/>
      <c r="Y53" s="41"/>
      <c r="AE53" s="41"/>
      <c r="AF53" s="45"/>
    </row>
    <row r="54" spans="11:32" ht="12" customHeight="1" x14ac:dyDescent="0.2">
      <c r="W54" s="32"/>
      <c r="Y54" s="41"/>
      <c r="AE54" s="32"/>
      <c r="AF54" s="45"/>
    </row>
    <row r="55" spans="11:32" ht="12" customHeight="1" x14ac:dyDescent="0.2">
      <c r="K55" s="32"/>
      <c r="L55" s="32"/>
      <c r="W55" s="32"/>
      <c r="Y55" s="41"/>
      <c r="AE55" s="41"/>
      <c r="AF55" s="45"/>
    </row>
    <row r="56" spans="11:32" ht="12" customHeight="1" x14ac:dyDescent="0.2">
      <c r="W56" s="32"/>
      <c r="Y56" s="41"/>
      <c r="AE56" s="32"/>
      <c r="AF56" s="45"/>
    </row>
    <row r="57" spans="11:32" ht="12" customHeight="1" x14ac:dyDescent="0.2">
      <c r="K57" s="32"/>
      <c r="L57" s="32"/>
      <c r="W57" s="32"/>
      <c r="Y57" s="41"/>
      <c r="AE57" s="41"/>
      <c r="AF57" s="45"/>
    </row>
    <row r="58" spans="11:32" ht="12" customHeight="1" x14ac:dyDescent="0.2">
      <c r="W58" s="32"/>
      <c r="Y58" s="41"/>
      <c r="AE58" s="32"/>
      <c r="AF58" s="45"/>
    </row>
    <row r="59" spans="11:32" ht="12" customHeight="1" x14ac:dyDescent="0.2">
      <c r="K59" s="32"/>
      <c r="L59" s="32"/>
      <c r="W59" s="32"/>
      <c r="Y59" s="41"/>
      <c r="AE59" s="41"/>
      <c r="AF59" s="45"/>
    </row>
    <row r="61" spans="11:32" ht="12" customHeight="1" x14ac:dyDescent="0.2">
      <c r="K61" s="32"/>
      <c r="L61" s="32"/>
    </row>
  </sheetData>
  <conditionalFormatting sqref="AD22 AD24 AD26">
    <cfRule type="expression" dxfId="38" priority="506">
      <formula>MOD(ROW(),2)=1</formula>
    </cfRule>
  </conditionalFormatting>
  <conditionalFormatting sqref="Y26">
    <cfRule type="expression" dxfId="37" priority="372">
      <formula>MOD(ROW(),2)=1</formula>
    </cfRule>
  </conditionalFormatting>
  <conditionalFormatting sqref="Y30">
    <cfRule type="expression" dxfId="36" priority="371">
      <formula>MOD(ROW(),2)=1</formula>
    </cfRule>
  </conditionalFormatting>
  <conditionalFormatting sqref="Y34">
    <cfRule type="expression" dxfId="35" priority="370">
      <formula>MOD(ROW(),2)=1</formula>
    </cfRule>
  </conditionalFormatting>
  <conditionalFormatting sqref="Y38">
    <cfRule type="expression" dxfId="34" priority="369">
      <formula>MOD(ROW(),2)=1</formula>
    </cfRule>
  </conditionalFormatting>
  <conditionalFormatting sqref="Y42">
    <cfRule type="expression" dxfId="33" priority="368">
      <formula>MOD(ROW(),2)=1</formula>
    </cfRule>
  </conditionalFormatting>
  <conditionalFormatting sqref="Y46">
    <cfRule type="expression" dxfId="32" priority="367">
      <formula>MOD(ROW(),2)=1</formula>
    </cfRule>
  </conditionalFormatting>
  <conditionalFormatting sqref="Y50">
    <cfRule type="expression" dxfId="31" priority="366">
      <formula>MOD(ROW(),2)=1</formula>
    </cfRule>
  </conditionalFormatting>
  <conditionalFormatting sqref="Y54">
    <cfRule type="expression" dxfId="30" priority="365">
      <formula>MOD(ROW(),2)=1</formula>
    </cfRule>
  </conditionalFormatting>
  <conditionalFormatting sqref="Y58">
    <cfRule type="expression" dxfId="29" priority="364">
      <formula>MOD(ROW(),2)=1</formula>
    </cfRule>
  </conditionalFormatting>
  <conditionalFormatting sqref="W26">
    <cfRule type="expression" dxfId="28" priority="230">
      <formula>MOD(ROW(),2)=1</formula>
    </cfRule>
  </conditionalFormatting>
  <conditionalFormatting sqref="W30">
    <cfRule type="expression" dxfId="27" priority="229">
      <formula>MOD(ROW(),2)=1</formula>
    </cfRule>
  </conditionalFormatting>
  <conditionalFormatting sqref="W34">
    <cfRule type="expression" dxfId="26" priority="228">
      <formula>MOD(ROW(),2)=1</formula>
    </cfRule>
  </conditionalFormatting>
  <conditionalFormatting sqref="W38">
    <cfRule type="expression" dxfId="25" priority="227">
      <formula>MOD(ROW(),2)=1</formula>
    </cfRule>
  </conditionalFormatting>
  <conditionalFormatting sqref="W42">
    <cfRule type="expression" dxfId="24" priority="226">
      <formula>MOD(ROW(),2)=1</formula>
    </cfRule>
  </conditionalFormatting>
  <conditionalFormatting sqref="W46">
    <cfRule type="expression" dxfId="23" priority="225">
      <formula>MOD(ROW(),2)=1</formula>
    </cfRule>
  </conditionalFormatting>
  <conditionalFormatting sqref="W50">
    <cfRule type="expression" dxfId="22" priority="224">
      <formula>MOD(ROW(),2)=1</formula>
    </cfRule>
  </conditionalFormatting>
  <conditionalFormatting sqref="W54">
    <cfRule type="expression" dxfId="21" priority="223">
      <formula>MOD(ROW(),2)=1</formula>
    </cfRule>
  </conditionalFormatting>
  <conditionalFormatting sqref="W58">
    <cfRule type="expression" dxfId="20" priority="222">
      <formula>MOD(ROW(),2)=1</formula>
    </cfRule>
  </conditionalFormatting>
  <conditionalFormatting sqref="AC2 AC4 AC6 AC8 AC10 AC16 AG4 AG2 AG8 AG6 AG10 AG16">
    <cfRule type="expression" dxfId="19" priority="47">
      <formula>MOD(ROW(),2)=1</formula>
    </cfRule>
  </conditionalFormatting>
  <conditionalFormatting sqref="AD2 AD4">
    <cfRule type="expression" dxfId="18" priority="46">
      <formula>MOD(ROW(),2)=1</formula>
    </cfRule>
  </conditionalFormatting>
  <conditionalFormatting sqref="AD6 AD8">
    <cfRule type="expression" dxfId="17" priority="45">
      <formula>MOD(ROW(),2)=1</formula>
    </cfRule>
  </conditionalFormatting>
  <conditionalFormatting sqref="AD16">
    <cfRule type="expression" dxfId="16" priority="42">
      <formula>MOD(ROW(),2)=1</formula>
    </cfRule>
  </conditionalFormatting>
  <conditionalFormatting sqref="Y2">
    <cfRule type="expression" dxfId="15" priority="41">
      <formula>MOD(ROW(),2)=1</formula>
    </cfRule>
  </conditionalFormatting>
  <conditionalFormatting sqref="Y10">
    <cfRule type="expression" dxfId="14" priority="37">
      <formula>MOD(ROW(),2)=1</formula>
    </cfRule>
  </conditionalFormatting>
  <conditionalFormatting sqref="Y16">
    <cfRule type="expression" dxfId="13" priority="32">
      <formula>MOD(ROW(),2)=1</formula>
    </cfRule>
  </conditionalFormatting>
  <conditionalFormatting sqref="W2">
    <cfRule type="expression" dxfId="12" priority="31">
      <formula>MOD(ROW(),2)=1</formula>
    </cfRule>
  </conditionalFormatting>
  <conditionalFormatting sqref="W10">
    <cfRule type="expression" dxfId="11" priority="27">
      <formula>MOD(ROW(),2)=1</formula>
    </cfRule>
  </conditionalFormatting>
  <conditionalFormatting sqref="W16">
    <cfRule type="expression" dxfId="10" priority="22">
      <formula>MOD(ROW(),2)=1</formula>
    </cfRule>
  </conditionalFormatting>
  <conditionalFormatting sqref="U2">
    <cfRule type="expression" dxfId="9" priority="21">
      <formula>MOD(ROW(),2)=1</formula>
    </cfRule>
  </conditionalFormatting>
  <conditionalFormatting sqref="U8">
    <cfRule type="expression" dxfId="8" priority="19">
      <formula>MOD(ROW(),2)=1</formula>
    </cfRule>
  </conditionalFormatting>
  <conditionalFormatting sqref="U10">
    <cfRule type="expression" dxfId="7" priority="18">
      <formula>MOD(ROW(),2)=1</formula>
    </cfRule>
  </conditionalFormatting>
  <conditionalFormatting sqref="U16">
    <cfRule type="expression" dxfId="6" priority="14">
      <formula>MOD(ROW(),2)=1</formula>
    </cfRule>
  </conditionalFormatting>
  <conditionalFormatting sqref="AC18 AC20 AG20 AG18">
    <cfRule type="expression" dxfId="5" priority="9">
      <formula>MOD(ROW(),2)=1</formula>
    </cfRule>
  </conditionalFormatting>
  <conditionalFormatting sqref="AD18 AD20">
    <cfRule type="expression" dxfId="4" priority="8">
      <formula>MOD(ROW(),2)=1</formula>
    </cfRule>
  </conditionalFormatting>
  <conditionalFormatting sqref="Y20">
    <cfRule type="expression" dxfId="3" priority="7">
      <formula>MOD(ROW(),2)=1</formula>
    </cfRule>
  </conditionalFormatting>
  <conditionalFormatting sqref="W20">
    <cfRule type="expression" dxfId="2" priority="5">
      <formula>MOD(ROW(),2)=1</formula>
    </cfRule>
  </conditionalFormatting>
  <conditionalFormatting sqref="U18">
    <cfRule type="expression" dxfId="1" priority="2">
      <formula>MOD(ROW(),2)=1</formula>
    </cfRule>
  </conditionalFormatting>
  <conditionalFormatting sqref="U20">
    <cfRule type="expression" dxfId="0" priority="1">
      <formula>MOD(ROW(),2)=1</formula>
    </cfRule>
  </conditionalFormatting>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407"/>
  <sheetViews>
    <sheetView workbookViewId="0"/>
  </sheetViews>
  <sheetFormatPr defaultRowHeight="15" x14ac:dyDescent="0.25"/>
  <cols>
    <col min="1" max="1" width="17.85546875" customWidth="1"/>
    <col min="2" max="2" width="11" bestFit="1" customWidth="1"/>
    <col min="3" max="3" width="9.140625" style="35"/>
  </cols>
  <sheetData>
    <row r="3" spans="1:4" x14ac:dyDescent="0.25">
      <c r="A3" t="str">
        <f>'LLM Multiple'!B3</f>
        <v>Fisher, J. S., &amp; Radvansky, G. A. (2019). Linear forgetting. Journal of Memory and Language, 108, 104035.</v>
      </c>
      <c r="B3">
        <f>'LLM Multiple'!AA3</f>
        <v>7257600</v>
      </c>
      <c r="C3" s="35">
        <f>B3/(60*60*24*365)</f>
        <v>0.23013698630136986</v>
      </c>
      <c r="D3" s="35">
        <f>'LLM Multiple'!AM3</f>
        <v>-0.15069728030683968</v>
      </c>
    </row>
    <row r="5" spans="1:4" x14ac:dyDescent="0.25">
      <c r="A5" t="str">
        <f>'LLM Multiple'!B5</f>
        <v>Fisher, J. S., &amp; Radvansky, G. A. (2019). Linear forgetting. Journal of Memory and Language, 108, 104035.</v>
      </c>
      <c r="B5">
        <f>'LLM Multiple'!AA5</f>
        <v>873600</v>
      </c>
      <c r="C5" s="35">
        <f>B5/(60*60*24*365)</f>
        <v>2.7701674277016742E-2</v>
      </c>
      <c r="D5" s="35">
        <f>'LLM Multiple'!AM5</f>
        <v>-7.0295685363808869E-2</v>
      </c>
    </row>
    <row r="7" spans="1:4" x14ac:dyDescent="0.25">
      <c r="A7" t="str">
        <f>'LLM Multiple'!B7</f>
        <v>Nunoi, M., &amp; Yoshikawa, S. (2016). Deep processing makes stimuli more preferable over long durations. Journal of Cognitive Psychology, 28(6), 756-763.</v>
      </c>
      <c r="B7">
        <f>'LLM Multiple'!AA7</f>
        <v>3628800</v>
      </c>
      <c r="C7" s="35">
        <f>B7/(60*60*24*365)</f>
        <v>0.11506849315068493</v>
      </c>
      <c r="D7" s="35">
        <f>'LLM Multiple'!AM7</f>
        <v>-1.1639941262594255E-2</v>
      </c>
    </row>
    <row r="9" spans="1:4" x14ac:dyDescent="0.25">
      <c r="A9" t="str">
        <f>'LLM Multiple'!B9</f>
        <v>Nunoi, M., &amp; Yoshikawa, S. (2016). Deep processing makes stimuli more preferable over long durations. Journal of Cognitive Psychology, 28(6), 756-763.</v>
      </c>
      <c r="B9">
        <f>'LLM Multiple'!AA9</f>
        <v>3628800</v>
      </c>
      <c r="C9" s="35">
        <f>B9/(60*60*24*365)</f>
        <v>0.11506849315068493</v>
      </c>
      <c r="D9" s="35">
        <f>'LLM Multiple'!AM9</f>
        <v>-4.8192523586078895E-2</v>
      </c>
    </row>
    <row r="11" spans="1:4" x14ac:dyDescent="0.25">
      <c r="A11" t="str">
        <f>'LLM Multiple'!B11</f>
        <v>Radvansky, G., O’Rear, A., &amp; Fisher, A. (2017). Event models and the fan effect. Memory &amp; Cognition, 45(6), 1028-1044.</v>
      </c>
      <c r="B11">
        <f>'LLM Multiple'!AA11</f>
        <v>1209600</v>
      </c>
      <c r="C11" s="35">
        <f>B11/(60*60*24*365)</f>
        <v>3.8356164383561646E-2</v>
      </c>
      <c r="D11" s="35">
        <f>'LLM Multiple'!AM11</f>
        <v>-2.0707266774658013E-2</v>
      </c>
    </row>
    <row r="13" spans="1:4" x14ac:dyDescent="0.25">
      <c r="A13" t="str">
        <f>'LLM Multiple'!B13</f>
        <v>Siler, J., &amp; Benjamin, A. S. (2019). Long-term inference and memory following retrieval practice. Memory &amp; Cognition, 48, 645-654.</v>
      </c>
      <c r="B13">
        <f>'LLM Multiple'!AA13</f>
        <v>2160000</v>
      </c>
      <c r="C13" s="35">
        <f>B13/(60*60*24*365)</f>
        <v>6.8493150684931503E-2</v>
      </c>
      <c r="D13" s="35">
        <f>'LLM Multiple'!AM13</f>
        <v>-8.5151640058379441E-2</v>
      </c>
    </row>
    <row r="15" spans="1:4" x14ac:dyDescent="0.25">
      <c r="A15" t="str">
        <f>'LLM Multiple'!B15</f>
        <v>Siler, J., &amp; Benjamin, A. S. (2019). Long-term inference and memory following retrieval practice. Memory &amp; Cognition, 48, 645-654.</v>
      </c>
      <c r="B15">
        <f>'LLM Multiple'!AA15</f>
        <v>2160000</v>
      </c>
      <c r="C15" s="35">
        <f>B15/(60*60*24*365)</f>
        <v>6.8493150684931503E-2</v>
      </c>
      <c r="D15" s="35">
        <f>'LLM Multiple'!AM15</f>
        <v>-6.2977119613244162E-2</v>
      </c>
    </row>
    <row r="17" spans="1:8" x14ac:dyDescent="0.25">
      <c r="A17" t="str">
        <f>'LLM Multiple'!B17</f>
        <v>Tunney, &amp; Bezzina. (2007). Effects of retention intervals on receiver operating characteristics in artificial grammar learning. Acta Psychologica, 125(1), 37-50.</v>
      </c>
      <c r="B17">
        <f>'LLM Multiple'!AA17</f>
        <v>1209600</v>
      </c>
      <c r="C17" s="35">
        <f>B17/(60*60*24*365)</f>
        <v>3.8356164383561646E-2</v>
      </c>
      <c r="D17" s="35">
        <f>'LLM Multiple'!AM17</f>
        <v>-5.1203070795816458E-2</v>
      </c>
    </row>
    <row r="18" spans="1:8" x14ac:dyDescent="0.25">
      <c r="G18" s="67">
        <f>AVERAGE(D3:D21)</f>
        <v>-0.10577115682526565</v>
      </c>
      <c r="H18" s="66">
        <f xml:space="preserve"> STDEV(D3:D21)/SQRT(COUNT(D3:D21))</f>
        <v>3.2131176788981322E-2</v>
      </c>
    </row>
    <row r="19" spans="1:8" x14ac:dyDescent="0.25">
      <c r="A19" t="str">
        <f>'LLM Multiple'!B19</f>
        <v xml:space="preserve">Wickelgren, W. (1972). Trace resistance and the decay of long-term memory. Journal of Mathematical Psychology, 9(4), 418-455.
</v>
      </c>
      <c r="B19">
        <f>'LLM Multiple'!AA19</f>
        <v>66528000</v>
      </c>
      <c r="C19" s="35">
        <f>B19/(60*60*24*365)</f>
        <v>2.1095890410958904</v>
      </c>
      <c r="D19" s="35">
        <f>'LLM Multiple'!AM19</f>
        <v>-0.33027216480459509</v>
      </c>
    </row>
    <row r="21" spans="1:8" x14ac:dyDescent="0.25">
      <c r="A21" t="str">
        <f>'LLM Multiple'!B21</f>
        <v xml:space="preserve">Wickelgren, W. (1972). Trace resistance and the decay of long-term memory. Journal of Mathematical Psychology, 9(4), 418-455.
</v>
      </c>
      <c r="B21">
        <f>'LLM Multiple'!AA21</f>
        <v>66528000</v>
      </c>
      <c r="C21" s="35">
        <f>B21/(60*60*24*365)</f>
        <v>2.1095890410958904</v>
      </c>
      <c r="D21" s="35">
        <f>'LLM Multiple'!AM21</f>
        <v>-0.22657487568664167</v>
      </c>
    </row>
    <row r="23" spans="1:8" x14ac:dyDescent="0.25">
      <c r="D23" s="35"/>
    </row>
    <row r="25" spans="1:8" x14ac:dyDescent="0.25">
      <c r="D25" s="35"/>
    </row>
    <row r="27" spans="1:8" x14ac:dyDescent="0.25">
      <c r="D27" s="35"/>
    </row>
    <row r="29" spans="1:8" x14ac:dyDescent="0.25">
      <c r="D29" s="35"/>
    </row>
    <row r="31" spans="1:8" x14ac:dyDescent="0.25">
      <c r="D31" s="35"/>
    </row>
    <row r="33" spans="4:4" x14ac:dyDescent="0.25">
      <c r="D33" s="35"/>
    </row>
    <row r="35" spans="4:4" x14ac:dyDescent="0.25">
      <c r="D35" s="35"/>
    </row>
    <row r="37" spans="4:4" x14ac:dyDescent="0.25">
      <c r="D37" s="35"/>
    </row>
    <row r="39" spans="4:4" x14ac:dyDescent="0.25">
      <c r="D39" s="35"/>
    </row>
    <row r="41" spans="4:4" x14ac:dyDescent="0.25">
      <c r="D41" s="35"/>
    </row>
    <row r="43" spans="4:4" x14ac:dyDescent="0.25">
      <c r="D43" s="35"/>
    </row>
    <row r="45" spans="4:4" x14ac:dyDescent="0.25">
      <c r="D45" s="35"/>
    </row>
    <row r="47" spans="4:4" x14ac:dyDescent="0.25">
      <c r="D47" s="35"/>
    </row>
    <row r="49" spans="4:4" x14ac:dyDescent="0.25">
      <c r="D49" s="35"/>
    </row>
    <row r="51" spans="4:4" x14ac:dyDescent="0.25">
      <c r="D51" s="35"/>
    </row>
    <row r="53" spans="4:4" x14ac:dyDescent="0.25">
      <c r="D53" s="35"/>
    </row>
    <row r="55" spans="4:4" x14ac:dyDescent="0.25">
      <c r="D55" s="35"/>
    </row>
    <row r="57" spans="4:4" x14ac:dyDescent="0.25">
      <c r="D57" s="35"/>
    </row>
    <row r="59" spans="4:4" x14ac:dyDescent="0.25">
      <c r="D59" s="35"/>
    </row>
    <row r="61" spans="4:4" x14ac:dyDescent="0.25">
      <c r="D61" s="35"/>
    </row>
    <row r="63" spans="4:4" x14ac:dyDescent="0.25">
      <c r="D63" s="35"/>
    </row>
    <row r="65" spans="4:5" x14ac:dyDescent="0.25">
      <c r="D65" s="35"/>
    </row>
    <row r="67" spans="4:5" x14ac:dyDescent="0.25">
      <c r="D67" s="35"/>
    </row>
    <row r="69" spans="4:5" x14ac:dyDescent="0.25">
      <c r="D69" s="35"/>
    </row>
    <row r="71" spans="4:5" x14ac:dyDescent="0.25">
      <c r="D71" s="35"/>
    </row>
    <row r="73" spans="4:5" x14ac:dyDescent="0.25">
      <c r="D73" s="35"/>
    </row>
    <row r="75" spans="4:5" x14ac:dyDescent="0.25">
      <c r="D75" s="35"/>
    </row>
    <row r="77" spans="4:5" x14ac:dyDescent="0.25">
      <c r="D77" s="35"/>
    </row>
    <row r="79" spans="4:5" x14ac:dyDescent="0.25">
      <c r="D79" s="35"/>
      <c r="E79" s="35"/>
    </row>
    <row r="81" spans="4:4" x14ac:dyDescent="0.25">
      <c r="D81" s="35"/>
    </row>
    <row r="83" spans="4:4" x14ac:dyDescent="0.25">
      <c r="D83" s="35"/>
    </row>
    <row r="85" spans="4:4" x14ac:dyDescent="0.25">
      <c r="D85" s="35"/>
    </row>
    <row r="87" spans="4:4" x14ac:dyDescent="0.25">
      <c r="D87" s="35"/>
    </row>
    <row r="89" spans="4:4" x14ac:dyDescent="0.25">
      <c r="D89" s="35"/>
    </row>
    <row r="91" spans="4:4" x14ac:dyDescent="0.25">
      <c r="D91" s="35"/>
    </row>
    <row r="93" spans="4:4" x14ac:dyDescent="0.25">
      <c r="D93" s="35"/>
    </row>
    <row r="95" spans="4:4" x14ac:dyDescent="0.25">
      <c r="D95" s="35"/>
    </row>
    <row r="97" spans="4:4" x14ac:dyDescent="0.25">
      <c r="D97" s="35"/>
    </row>
    <row r="99" spans="4:4" x14ac:dyDescent="0.25">
      <c r="D99" s="35"/>
    </row>
    <row r="101" spans="4:4" x14ac:dyDescent="0.25">
      <c r="D101" s="35"/>
    </row>
    <row r="103" spans="4:4" x14ac:dyDescent="0.25">
      <c r="D103" s="35"/>
    </row>
    <row r="105" spans="4:4" x14ac:dyDescent="0.25">
      <c r="D105" s="35"/>
    </row>
    <row r="107" spans="4:4" x14ac:dyDescent="0.25">
      <c r="D107" s="35"/>
    </row>
    <row r="109" spans="4:4" x14ac:dyDescent="0.25">
      <c r="D109" s="35"/>
    </row>
    <row r="111" spans="4:4" x14ac:dyDescent="0.25">
      <c r="D111" s="35"/>
    </row>
    <row r="113" spans="4:4" x14ac:dyDescent="0.25">
      <c r="D113" s="35"/>
    </row>
    <row r="115" spans="4:4" x14ac:dyDescent="0.25">
      <c r="D115" s="35"/>
    </row>
    <row r="117" spans="4:4" x14ac:dyDescent="0.25">
      <c r="D117" s="35"/>
    </row>
    <row r="119" spans="4:4" x14ac:dyDescent="0.25">
      <c r="D119" s="35"/>
    </row>
    <row r="121" spans="4:4" x14ac:dyDescent="0.25">
      <c r="D121" s="35"/>
    </row>
    <row r="123" spans="4:4" x14ac:dyDescent="0.25">
      <c r="D123" s="35"/>
    </row>
    <row r="125" spans="4:4" x14ac:dyDescent="0.25">
      <c r="D125" s="35"/>
    </row>
    <row r="127" spans="4:4" x14ac:dyDescent="0.25">
      <c r="D127" s="35"/>
    </row>
    <row r="129" spans="4:4" x14ac:dyDescent="0.25">
      <c r="D129" s="35"/>
    </row>
    <row r="131" spans="4:4" x14ac:dyDescent="0.25">
      <c r="D131" s="35"/>
    </row>
    <row r="133" spans="4:4" x14ac:dyDescent="0.25">
      <c r="D133" s="35"/>
    </row>
    <row r="135" spans="4:4" x14ac:dyDescent="0.25">
      <c r="D135" s="35"/>
    </row>
    <row r="137" spans="4:4" x14ac:dyDescent="0.25">
      <c r="D137" s="35"/>
    </row>
    <row r="139" spans="4:4" x14ac:dyDescent="0.25">
      <c r="D139" s="35"/>
    </row>
    <row r="141" spans="4:4" x14ac:dyDescent="0.25">
      <c r="D141" s="35"/>
    </row>
    <row r="143" spans="4:4" x14ac:dyDescent="0.25">
      <c r="D143" s="35"/>
    </row>
    <row r="145" spans="4:4" x14ac:dyDescent="0.25">
      <c r="D145" s="35"/>
    </row>
    <row r="147" spans="4:4" x14ac:dyDescent="0.25">
      <c r="D147" s="35"/>
    </row>
    <row r="149" spans="4:4" x14ac:dyDescent="0.25">
      <c r="D149" s="35"/>
    </row>
    <row r="151" spans="4:4" x14ac:dyDescent="0.25">
      <c r="D151" s="35"/>
    </row>
    <row r="153" spans="4:4" x14ac:dyDescent="0.25">
      <c r="D153" s="35"/>
    </row>
    <row r="155" spans="4:4" x14ac:dyDescent="0.25">
      <c r="D155" s="35"/>
    </row>
    <row r="157" spans="4:4" x14ac:dyDescent="0.25">
      <c r="D157" s="35"/>
    </row>
    <row r="159" spans="4:4" x14ac:dyDescent="0.25">
      <c r="D159" s="35"/>
    </row>
    <row r="161" spans="4:4" x14ac:dyDescent="0.25">
      <c r="D161" s="35"/>
    </row>
    <row r="163" spans="4:4" x14ac:dyDescent="0.25">
      <c r="D163" s="35"/>
    </row>
    <row r="165" spans="4:4" x14ac:dyDescent="0.25">
      <c r="D165" s="35"/>
    </row>
    <row r="167" spans="4:4" x14ac:dyDescent="0.25">
      <c r="D167" s="35"/>
    </row>
    <row r="169" spans="4:4" x14ac:dyDescent="0.25">
      <c r="D169" s="35"/>
    </row>
    <row r="171" spans="4:4" x14ac:dyDescent="0.25">
      <c r="D171" s="35"/>
    </row>
    <row r="173" spans="4:4" x14ac:dyDescent="0.25">
      <c r="D173" s="35"/>
    </row>
    <row r="175" spans="4:4" x14ac:dyDescent="0.25">
      <c r="D175" s="35"/>
    </row>
    <row r="177" spans="4:4" x14ac:dyDescent="0.25">
      <c r="D177" s="35"/>
    </row>
    <row r="179" spans="4:4" x14ac:dyDescent="0.25">
      <c r="D179" s="35"/>
    </row>
    <row r="181" spans="4:4" x14ac:dyDescent="0.25">
      <c r="D181" s="35"/>
    </row>
    <row r="183" spans="4:4" x14ac:dyDescent="0.25">
      <c r="D183" s="35"/>
    </row>
    <row r="185" spans="4:4" x14ac:dyDescent="0.25">
      <c r="D185" s="35"/>
    </row>
    <row r="187" spans="4:4" x14ac:dyDescent="0.25">
      <c r="D187" s="35"/>
    </row>
    <row r="189" spans="4:4" x14ac:dyDescent="0.25">
      <c r="D189" s="35"/>
    </row>
    <row r="191" spans="4:4" x14ac:dyDescent="0.25">
      <c r="D191" s="35"/>
    </row>
    <row r="193" spans="4:4" x14ac:dyDescent="0.25">
      <c r="D193" s="35"/>
    </row>
    <row r="195" spans="4:4" x14ac:dyDescent="0.25">
      <c r="D195" s="35"/>
    </row>
    <row r="197" spans="4:4" x14ac:dyDescent="0.25">
      <c r="D197" s="35"/>
    </row>
    <row r="199" spans="4:4" x14ac:dyDescent="0.25">
      <c r="D199" s="35"/>
    </row>
    <row r="201" spans="4:4" x14ac:dyDescent="0.25">
      <c r="D201" s="35"/>
    </row>
    <row r="203" spans="4:4" x14ac:dyDescent="0.25">
      <c r="D203" s="35"/>
    </row>
    <row r="205" spans="4:4" x14ac:dyDescent="0.25">
      <c r="D205" s="35"/>
    </row>
    <row r="207" spans="4:4" x14ac:dyDescent="0.25">
      <c r="D207" s="35"/>
    </row>
    <row r="209" spans="4:4" x14ac:dyDescent="0.25">
      <c r="D209" s="35"/>
    </row>
    <row r="211" spans="4:4" x14ac:dyDescent="0.25">
      <c r="D211" s="35"/>
    </row>
    <row r="213" spans="4:4" x14ac:dyDescent="0.25">
      <c r="D213" s="35"/>
    </row>
    <row r="215" spans="4:4" x14ac:dyDescent="0.25">
      <c r="D215" s="35"/>
    </row>
    <row r="217" spans="4:4" x14ac:dyDescent="0.25">
      <c r="D217" s="35"/>
    </row>
    <row r="219" spans="4:4" x14ac:dyDescent="0.25">
      <c r="D219" s="35"/>
    </row>
    <row r="221" spans="4:4" x14ac:dyDescent="0.25">
      <c r="D221" s="35"/>
    </row>
    <row r="223" spans="4:4" x14ac:dyDescent="0.25">
      <c r="D223" s="35"/>
    </row>
    <row r="225" spans="4:4" x14ac:dyDescent="0.25">
      <c r="D225" s="35"/>
    </row>
    <row r="227" spans="4:4" x14ac:dyDescent="0.25">
      <c r="D227" s="35"/>
    </row>
    <row r="229" spans="4:4" x14ac:dyDescent="0.25">
      <c r="D229" s="35"/>
    </row>
    <row r="231" spans="4:4" x14ac:dyDescent="0.25">
      <c r="D231" s="35"/>
    </row>
    <row r="233" spans="4:4" x14ac:dyDescent="0.25">
      <c r="D233" s="35"/>
    </row>
    <row r="235" spans="4:4" x14ac:dyDescent="0.25">
      <c r="D235" s="35"/>
    </row>
    <row r="237" spans="4:4" x14ac:dyDescent="0.25">
      <c r="D237" s="35"/>
    </row>
    <row r="239" spans="4:4" x14ac:dyDescent="0.25">
      <c r="D239" s="35"/>
    </row>
    <row r="241" spans="4:5" x14ac:dyDescent="0.25">
      <c r="D241" s="35"/>
      <c r="E241" s="35"/>
    </row>
    <row r="243" spans="4:5" x14ac:dyDescent="0.25">
      <c r="D243" s="35"/>
    </row>
    <row r="245" spans="4:5" x14ac:dyDescent="0.25">
      <c r="D245" s="35"/>
    </row>
    <row r="247" spans="4:5" x14ac:dyDescent="0.25">
      <c r="D247" s="35"/>
    </row>
    <row r="249" spans="4:5" x14ac:dyDescent="0.25">
      <c r="D249" s="35"/>
    </row>
    <row r="251" spans="4:5" x14ac:dyDescent="0.25">
      <c r="D251" s="35"/>
    </row>
    <row r="253" spans="4:5" x14ac:dyDescent="0.25">
      <c r="D253" s="35"/>
    </row>
    <row r="255" spans="4:5" x14ac:dyDescent="0.25">
      <c r="D255" s="35"/>
    </row>
    <row r="257" spans="4:4" x14ac:dyDescent="0.25">
      <c r="D257" s="35"/>
    </row>
    <row r="259" spans="4:4" x14ac:dyDescent="0.25">
      <c r="D259" s="35"/>
    </row>
    <row r="261" spans="4:4" x14ac:dyDescent="0.25">
      <c r="D261" s="35"/>
    </row>
    <row r="263" spans="4:4" x14ac:dyDescent="0.25">
      <c r="D263" s="35"/>
    </row>
    <row r="295" spans="5:5" x14ac:dyDescent="0.25">
      <c r="E295" s="35"/>
    </row>
    <row r="383" spans="5:5" x14ac:dyDescent="0.25">
      <c r="E383" s="35"/>
    </row>
    <row r="407" spans="5:5" x14ac:dyDescent="0.25">
      <c r="E407" s="35"/>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workbookViewId="0"/>
  </sheetViews>
  <sheetFormatPr defaultRowHeight="15" x14ac:dyDescent="0.25"/>
  <sheetData>
    <row r="1" spans="1:3" x14ac:dyDescent="0.25">
      <c r="B1" s="90" t="s">
        <v>135</v>
      </c>
      <c r="C1" s="90" t="s">
        <v>187</v>
      </c>
    </row>
    <row r="2" spans="1:3" x14ac:dyDescent="0.25">
      <c r="A2" s="90" t="s">
        <v>185</v>
      </c>
      <c r="B2" s="35">
        <f>WM!AM19</f>
        <v>-0.22070323910457618</v>
      </c>
      <c r="C2" s="35">
        <f>WM!AM24</f>
        <v>6.0924302096435345E-2</v>
      </c>
    </row>
    <row r="3" spans="1:3" x14ac:dyDescent="0.25">
      <c r="A3" s="90" t="s">
        <v>190</v>
      </c>
      <c r="B3" s="35">
        <f>'e-LTM'!AM33</f>
        <v>-0.21510108093765359</v>
      </c>
      <c r="C3">
        <f>'e-LTM'!AM38</f>
        <v>0.1044947408947848</v>
      </c>
    </row>
    <row r="4" spans="1:3" x14ac:dyDescent="0.25">
      <c r="A4" s="90" t="s">
        <v>191</v>
      </c>
      <c r="B4" s="35">
        <f>'t-LTM'!AM47</f>
        <v>-0.12917461484833476</v>
      </c>
      <c r="C4">
        <f>'t-LTM'!AM52</f>
        <v>1.4326473576203667E-2</v>
      </c>
    </row>
    <row r="5" spans="1:3" x14ac:dyDescent="0.25">
      <c r="A5" s="90" t="s">
        <v>186</v>
      </c>
      <c r="B5" s="35">
        <f>LLM!AM47</f>
        <v>-0.13179603198055378</v>
      </c>
      <c r="C5">
        <f>LLM!AM52</f>
        <v>1.879932534848576E-2</v>
      </c>
    </row>
  </sheetData>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1"/>
  <sheetViews>
    <sheetView workbookViewId="0"/>
  </sheetViews>
  <sheetFormatPr defaultRowHeight="15" x14ac:dyDescent="0.25"/>
  <sheetData>
    <row r="1" spans="1:3" x14ac:dyDescent="0.25">
      <c r="B1" s="90" t="s">
        <v>135</v>
      </c>
      <c r="C1" s="90" t="s">
        <v>187</v>
      </c>
    </row>
    <row r="2" spans="1:3" x14ac:dyDescent="0.25">
      <c r="A2" s="90" t="s">
        <v>185</v>
      </c>
      <c r="B2" s="35">
        <f>'WM Single'!AM19</f>
        <v>-0.22070323910457618</v>
      </c>
      <c r="C2">
        <f>'WM Single'!AM24</f>
        <v>6.0924302096435345E-2</v>
      </c>
    </row>
    <row r="3" spans="1:3" x14ac:dyDescent="0.25">
      <c r="A3" s="90" t="s">
        <v>190</v>
      </c>
      <c r="B3" s="35">
        <f>'e-LTM Single'!AM25</f>
        <v>-0.16449643070897965</v>
      </c>
      <c r="C3">
        <f>'e-LTM Single'!AM30</f>
        <v>2.8331386909488616E-2</v>
      </c>
    </row>
    <row r="4" spans="1:3" x14ac:dyDescent="0.25">
      <c r="A4" s="90" t="s">
        <v>191</v>
      </c>
      <c r="B4" s="35">
        <f>'t-LTM Single'!AM47</f>
        <v>-0.12917461484833476</v>
      </c>
      <c r="C4">
        <f>'t-LTM Single'!AM52</f>
        <v>1.4326473576203667E-2</v>
      </c>
    </row>
    <row r="5" spans="1:3" x14ac:dyDescent="0.25">
      <c r="A5" s="90" t="s">
        <v>186</v>
      </c>
      <c r="B5" s="35">
        <f>'LLM Single'!AM27</f>
        <v>-0.15348342794329381</v>
      </c>
      <c r="C5">
        <f>'LLM Single'!AM32</f>
        <v>2.0951490643730065E-2</v>
      </c>
    </row>
    <row r="27" spans="17:19" x14ac:dyDescent="0.25">
      <c r="R27" s="90"/>
      <c r="S27" s="90"/>
    </row>
    <row r="28" spans="17:19" x14ac:dyDescent="0.25">
      <c r="Q28" s="90"/>
      <c r="R28" s="35"/>
    </row>
    <row r="29" spans="17:19" x14ac:dyDescent="0.25">
      <c r="Q29" s="90"/>
    </row>
    <row r="30" spans="17:19" x14ac:dyDescent="0.25">
      <c r="Q30" s="90"/>
    </row>
    <row r="31" spans="17:19" x14ac:dyDescent="0.25">
      <c r="Q31" s="90"/>
    </row>
  </sheetData>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workbookViewId="0"/>
  </sheetViews>
  <sheetFormatPr defaultRowHeight="15" x14ac:dyDescent="0.25"/>
  <sheetData>
    <row r="1" spans="1:3" x14ac:dyDescent="0.25">
      <c r="B1" s="90" t="s">
        <v>135</v>
      </c>
      <c r="C1" s="90" t="s">
        <v>187</v>
      </c>
    </row>
    <row r="2" spans="1:3" x14ac:dyDescent="0.25">
      <c r="A2" s="90" t="s">
        <v>185</v>
      </c>
      <c r="B2" s="35"/>
    </row>
    <row r="3" spans="1:3" x14ac:dyDescent="0.25">
      <c r="A3" s="90" t="s">
        <v>190</v>
      </c>
      <c r="B3" s="35">
        <f>'e-LTM Multiple'!AM11</f>
        <v>-0.18850503503313765</v>
      </c>
      <c r="C3">
        <f>'e-LTM Multiple'!AM16</f>
        <v>1.0266512781842263E-2</v>
      </c>
    </row>
    <row r="4" spans="1:3" x14ac:dyDescent="0.25">
      <c r="A4" s="90" t="s">
        <v>191</v>
      </c>
      <c r="B4" s="35"/>
    </row>
    <row r="5" spans="1:3" x14ac:dyDescent="0.25">
      <c r="A5" s="90" t="s">
        <v>186</v>
      </c>
      <c r="B5" s="35">
        <f>'LLM Multiple'!AM23</f>
        <v>-0.10577115682526565</v>
      </c>
      <c r="C5">
        <f>'LLM Multiple'!AM28</f>
        <v>3.2131176788981322E-2</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33"/>
  <sheetViews>
    <sheetView workbookViewId="0"/>
  </sheetViews>
  <sheetFormatPr defaultRowHeight="15" x14ac:dyDescent="0.25"/>
  <sheetData>
    <row r="3" spans="1:4" x14ac:dyDescent="0.25">
      <c r="A3" t="str">
        <f>WM!B3</f>
        <v>Lane, Scott, D., Cherek, D. R., Lieving, L. M., &amp; Tcheremissine, O. V. (2005). Marijuana effects on human forgetting functions. Journal of the Experimental Analysis of Behavior, 83,67-83.</v>
      </c>
      <c r="B3">
        <f>WM!AA3</f>
        <v>24</v>
      </c>
      <c r="C3">
        <f>B3/60</f>
        <v>0.4</v>
      </c>
      <c r="D3" s="35">
        <f>WM!AM3</f>
        <v>-4.1840702811851621E-2</v>
      </c>
    </row>
    <row r="5" spans="1:4" x14ac:dyDescent="0.25">
      <c r="A5" t="str">
        <f>WM!B5</f>
        <v>Ricker, T. J., &amp; Cowan, N. (2010). Loss of visual working memory within seconds: The combined use of refreshable and non-refreshable features. Journal of Experimental Psychology: Learning, Memory, and Cognition, 36(6), 1355-1368.</v>
      </c>
      <c r="B5">
        <f>WM!AA5</f>
        <v>5.9</v>
      </c>
      <c r="C5">
        <f>B5/60</f>
        <v>9.8333333333333342E-2</v>
      </c>
      <c r="D5" s="35">
        <f>WM!AM5</f>
        <v>-0.11092243663828597</v>
      </c>
    </row>
    <row r="7" spans="1:4" x14ac:dyDescent="0.25">
      <c r="A7" t="str">
        <f>WM!B7</f>
        <v>Ricker, T. J., &amp; Cowan, N. (2010). Loss of visual working memory within seconds: The combined use of refreshable and non-refreshable features. Journal of Experimental Psychology: Learning, Memory, and Cognition, 36(6), 1355-1368.</v>
      </c>
      <c r="B7">
        <f>WM!AA7</f>
        <v>5.9</v>
      </c>
      <c r="C7">
        <f>B7/60</f>
        <v>9.8333333333333342E-2</v>
      </c>
      <c r="D7" s="35">
        <f>WM!AM7</f>
        <v>-0.41909110484810935</v>
      </c>
    </row>
    <row r="9" spans="1:4" x14ac:dyDescent="0.25">
      <c r="A9" t="str">
        <f>WM!B9</f>
        <v>Ricker, T. J., &amp; Cowan, N. (2010). Loss of visual working memory within seconds: The combined use of refreshable and non-refreshable features. Journal of Experimental Psychology: Learning, Memory, and Cognition, 36(6), 1355-1368.</v>
      </c>
      <c r="B9">
        <f>WM!AA9</f>
        <v>5.9</v>
      </c>
      <c r="C9">
        <f>B9/60</f>
        <v>9.8333333333333342E-2</v>
      </c>
      <c r="D9" s="35">
        <f>WM!AM9</f>
        <v>-0.29603830479199178</v>
      </c>
    </row>
    <row r="11" spans="1:4" x14ac:dyDescent="0.25">
      <c r="A11" t="str">
        <f>WM!B11</f>
        <v>Ricker, T. J., &amp; Cowan, N. (2010). Loss of visual working memory within seconds: The combined use of refreshable and non-refreshable features. Journal of Experimental Psychology: Learning, Memory, and Cognition, 36(6), 1355-1368.</v>
      </c>
      <c r="B11">
        <f>WM!AA11</f>
        <v>6</v>
      </c>
      <c r="C11">
        <f>B11/60</f>
        <v>0.1</v>
      </c>
      <c r="D11" s="35">
        <f>WM!AM11</f>
        <v>-0.15592760187876892</v>
      </c>
    </row>
    <row r="13" spans="1:4" x14ac:dyDescent="0.25">
      <c r="A13" t="str">
        <f>WM!B13</f>
        <v>Ricker, T. J., &amp; Cowan, N. (2010). Loss of visual working memory within seconds: The combined use of refreshable and non-refreshable features. Journal of Experimental Psychology: Learning, Memory, and Cognition, 36(6), 1355-1368.</v>
      </c>
      <c r="B13">
        <f>WM!AA13</f>
        <v>6</v>
      </c>
      <c r="C13">
        <f>B13/60</f>
        <v>0.1</v>
      </c>
      <c r="D13" s="35">
        <f>WM!AM13</f>
        <v>-0.25298134529679334</v>
      </c>
    </row>
    <row r="15" spans="1:4" x14ac:dyDescent="0.25">
      <c r="A15" t="str">
        <f>WM!B15</f>
        <v>Ricker, T. J., &amp; Cowan, N. (2010). Loss of visual working memory within seconds: The combined use of refreshable and non-refreshable features. Journal of Experimental Psychology: Learning, Memory, and Cognition, 36(6), 1355-1368.</v>
      </c>
      <c r="B15">
        <f>WM!AA15</f>
        <v>6</v>
      </c>
      <c r="C15">
        <f>B15/60</f>
        <v>0.1</v>
      </c>
      <c r="D15" s="35">
        <f>WM!AM15</f>
        <v>-7.3252894346361244E-3</v>
      </c>
    </row>
    <row r="17" spans="1:8" x14ac:dyDescent="0.25">
      <c r="A17" t="str">
        <f>WM!B17</f>
        <v>Ricker, T. J., &amp; Cowan, N. (2010). Loss of visual working memory within seconds: The combined use of refreshable and non-refreshable features. Journal of Experimental Psychology: Learning, Memory, and Cognition, 36(6), 1355-1368.</v>
      </c>
      <c r="B17">
        <f>WM!AA17</f>
        <v>6</v>
      </c>
      <c r="C17">
        <f>B17/60</f>
        <v>0.1</v>
      </c>
      <c r="D17" s="35">
        <f>WM!AM17</f>
        <v>-0.48149912713617249</v>
      </c>
    </row>
    <row r="18" spans="1:8" x14ac:dyDescent="0.25">
      <c r="G18" s="67">
        <f>AVERAGE(D2:D17)</f>
        <v>-0.22070323910457618</v>
      </c>
      <c r="H18" s="66">
        <f xml:space="preserve"> STDEV(D2:D17)/SQRT(COUNT(D2:D17))</f>
        <v>6.0924302096435345E-2</v>
      </c>
    </row>
    <row r="19" spans="1:8" x14ac:dyDescent="0.25">
      <c r="D19" s="35"/>
    </row>
    <row r="21" spans="1:8" x14ac:dyDescent="0.25">
      <c r="D21" s="35"/>
    </row>
    <row r="23" spans="1:8" x14ac:dyDescent="0.25">
      <c r="D23" s="35"/>
    </row>
    <row r="25" spans="1:8" x14ac:dyDescent="0.25">
      <c r="D25" s="35"/>
    </row>
    <row r="27" spans="1:8" x14ac:dyDescent="0.25">
      <c r="D27" s="35"/>
    </row>
    <row r="29" spans="1:8" x14ac:dyDescent="0.25">
      <c r="D29" s="35"/>
    </row>
    <row r="31" spans="1:8" x14ac:dyDescent="0.25">
      <c r="D31" s="35"/>
    </row>
    <row r="33" spans="4:4" x14ac:dyDescent="0.25">
      <c r="D33" s="35"/>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59"/>
  <sheetViews>
    <sheetView workbookViewId="0">
      <pane ySplit="1" topLeftCell="A2" activePane="bottomLeft" state="frozen"/>
      <selection activeCell="U1" sqref="U1"/>
      <selection pane="bottomLeft" activeCell="A2" sqref="A2"/>
    </sheetView>
  </sheetViews>
  <sheetFormatPr defaultColWidth="5.28515625" defaultRowHeight="12.75" outlineLevelCol="1" x14ac:dyDescent="0.2"/>
  <cols>
    <col min="1" max="1" width="11.28515625" style="33" bestFit="1" customWidth="1"/>
    <col min="2" max="2" width="9.7109375" style="10" customWidth="1"/>
    <col min="3" max="3" width="17.85546875" style="10" customWidth="1"/>
    <col min="4" max="4" width="6.85546875" style="36" customWidth="1"/>
    <col min="5" max="5" width="4.28515625" style="42" customWidth="1"/>
    <col min="6" max="6" width="10.28515625" style="36" bestFit="1" customWidth="1"/>
    <col min="7" max="7" width="9.28515625" style="36" customWidth="1"/>
    <col min="8" max="8" width="14.85546875" style="36" bestFit="1" customWidth="1"/>
    <col min="9" max="9" width="30.5703125" style="36" customWidth="1"/>
    <col min="10" max="10" width="17.5703125" style="36" customWidth="1"/>
    <col min="11" max="11" width="9.5703125" style="36" customWidth="1"/>
    <col min="12" max="13" width="9.7109375" style="36" customWidth="1"/>
    <col min="14" max="14" width="13.85546875" style="36" customWidth="1"/>
    <col min="15" max="15" width="8.7109375" style="36" customWidth="1"/>
    <col min="16" max="16" width="22.7109375" style="36" bestFit="1" customWidth="1"/>
    <col min="17" max="17" width="18.28515625" style="36" bestFit="1" customWidth="1"/>
    <col min="18" max="18" width="8.7109375" style="36" bestFit="1" customWidth="1"/>
    <col min="19" max="19" width="11.42578125" style="36" bestFit="1" customWidth="1"/>
    <col min="20" max="20" width="12.7109375" style="36" customWidth="1"/>
    <col min="21" max="21" width="10.42578125" style="36" bestFit="1" customWidth="1"/>
    <col min="22" max="22" width="10.42578125" style="36" customWidth="1"/>
    <col min="23" max="23" width="11.85546875" style="36" customWidth="1"/>
    <col min="24" max="24" width="8.140625" style="36" customWidth="1"/>
    <col min="25" max="25" width="10" style="42" customWidth="1"/>
    <col min="26" max="26" width="15.42578125" style="36" customWidth="1"/>
    <col min="27" max="27" width="11" style="36" customWidth="1"/>
    <col min="28" max="28" width="16.42578125" style="36" customWidth="1"/>
    <col min="29" max="29" width="13.5703125" style="36" customWidth="1"/>
    <col min="30" max="30" width="13.140625" style="36" customWidth="1"/>
    <col min="31" max="31" width="11" style="36" customWidth="1"/>
    <col min="32" max="32" width="12.5703125" style="46" customWidth="1"/>
    <col min="33" max="33" width="10.140625" style="29" customWidth="1"/>
    <col min="34" max="34" width="10.7109375" style="8" customWidth="1"/>
    <col min="35" max="35" width="10.7109375" style="29" customWidth="1"/>
    <col min="36" max="36" width="10.7109375" style="54" customWidth="1"/>
    <col min="37" max="40" width="10.7109375" style="29" customWidth="1"/>
    <col min="41" max="43" width="10.7109375" style="29" customWidth="1" outlineLevel="1"/>
    <col min="44" max="44" width="16.85546875" style="54" customWidth="1" outlineLevel="1"/>
    <col min="45" max="46" width="16.85546875" style="29" customWidth="1" outlineLevel="1"/>
    <col min="47" max="47" width="5.28515625" style="8" outlineLevel="1"/>
    <col min="48" max="50" width="13.42578125" style="23" bestFit="1" customWidth="1" outlineLevel="1"/>
    <col min="51" max="51" width="14.85546875" style="23" bestFit="1" customWidth="1" outlineLevel="1"/>
    <col min="52" max="53" width="14.5703125" style="23" bestFit="1" customWidth="1"/>
    <col min="54" max="54" width="13.5703125" style="23" bestFit="1" customWidth="1"/>
    <col min="55" max="57" width="13.5703125" style="16" bestFit="1" customWidth="1"/>
    <col min="58" max="62" width="12.42578125" style="16" bestFit="1" customWidth="1"/>
    <col min="63" max="74" width="10.42578125" style="16" bestFit="1" customWidth="1"/>
    <col min="75" max="95" width="11.42578125" style="16" bestFit="1" customWidth="1"/>
    <col min="96" max="99" width="12.42578125" style="10" bestFit="1" customWidth="1"/>
    <col min="100" max="133" width="10.42578125" style="10" bestFit="1" customWidth="1"/>
    <col min="134" max="16384" width="5.28515625" style="10"/>
  </cols>
  <sheetData>
    <row r="1" spans="1:99" ht="12" customHeight="1" x14ac:dyDescent="0.2">
      <c r="A1" s="33" t="s">
        <v>81</v>
      </c>
      <c r="B1" s="11" t="s">
        <v>0</v>
      </c>
      <c r="C1" s="11" t="s">
        <v>1</v>
      </c>
      <c r="D1" s="31" t="s">
        <v>2</v>
      </c>
      <c r="E1" s="40" t="s">
        <v>131</v>
      </c>
      <c r="F1" s="31" t="s">
        <v>6</v>
      </c>
      <c r="G1" s="31" t="s">
        <v>110</v>
      </c>
      <c r="H1" s="31" t="s">
        <v>1</v>
      </c>
      <c r="I1" s="31" t="s">
        <v>8</v>
      </c>
      <c r="J1" s="31" t="s">
        <v>7</v>
      </c>
      <c r="K1" s="31" t="s">
        <v>127</v>
      </c>
      <c r="L1" s="31" t="s">
        <v>122</v>
      </c>
      <c r="M1" s="31" t="s">
        <v>125</v>
      </c>
      <c r="N1" s="31" t="s">
        <v>123</v>
      </c>
      <c r="O1" s="31" t="s">
        <v>5</v>
      </c>
      <c r="P1" s="31" t="s">
        <v>126</v>
      </c>
      <c r="Q1" s="31" t="s">
        <v>3</v>
      </c>
      <c r="R1" s="31" t="s">
        <v>124</v>
      </c>
      <c r="S1" s="31" t="s">
        <v>4</v>
      </c>
      <c r="T1" s="31" t="s">
        <v>68</v>
      </c>
      <c r="U1" s="31" t="s">
        <v>165</v>
      </c>
      <c r="V1" s="31" t="s">
        <v>120</v>
      </c>
      <c r="W1" s="31" t="s">
        <v>121</v>
      </c>
      <c r="X1" s="31" t="s">
        <v>128</v>
      </c>
      <c r="Y1" s="40" t="s">
        <v>117</v>
      </c>
      <c r="Z1" s="31" t="s">
        <v>129</v>
      </c>
      <c r="AA1" s="31" t="s">
        <v>87</v>
      </c>
      <c r="AB1" s="31" t="s">
        <v>85</v>
      </c>
      <c r="AC1" s="31" t="s">
        <v>86</v>
      </c>
      <c r="AD1" s="31" t="s">
        <v>130</v>
      </c>
      <c r="AE1" s="31" t="s">
        <v>118</v>
      </c>
      <c r="AF1" s="44" t="s">
        <v>119</v>
      </c>
      <c r="AG1" s="27" t="s">
        <v>114</v>
      </c>
      <c r="AH1" s="4"/>
      <c r="AI1" s="58" t="s">
        <v>76</v>
      </c>
      <c r="AJ1" s="52" t="s">
        <v>74</v>
      </c>
      <c r="AK1" s="27" t="s">
        <v>9</v>
      </c>
      <c r="AL1" s="58" t="s">
        <v>77</v>
      </c>
      <c r="AM1" s="27" t="s">
        <v>10</v>
      </c>
      <c r="AN1" s="27" t="s">
        <v>11</v>
      </c>
      <c r="AO1" s="58" t="s">
        <v>162</v>
      </c>
      <c r="AP1" s="27" t="s">
        <v>80</v>
      </c>
      <c r="AQ1" s="58" t="s">
        <v>163</v>
      </c>
      <c r="AR1" s="52" t="s">
        <v>78</v>
      </c>
      <c r="AS1" s="58" t="s">
        <v>164</v>
      </c>
      <c r="AT1" s="27" t="s">
        <v>79</v>
      </c>
      <c r="AU1" s="4"/>
      <c r="AV1" s="7" t="s">
        <v>75</v>
      </c>
      <c r="AW1" s="7"/>
      <c r="AX1" s="7"/>
      <c r="AY1" s="7"/>
      <c r="AZ1" s="7"/>
      <c r="BA1" s="7"/>
      <c r="BB1" s="7"/>
      <c r="BC1" s="6"/>
      <c r="BD1" s="6"/>
      <c r="BE1" s="6"/>
      <c r="BF1" s="6"/>
      <c r="BG1" s="6"/>
      <c r="BH1" s="6"/>
      <c r="BI1" s="6"/>
      <c r="BJ1" s="6"/>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11"/>
      <c r="CS1" s="11"/>
      <c r="CT1" s="11"/>
      <c r="CU1" s="11"/>
    </row>
    <row r="2" spans="1:99" s="9" customFormat="1" ht="12" customHeight="1" x14ac:dyDescent="0.2">
      <c r="A2" s="94">
        <v>43509</v>
      </c>
      <c r="B2" s="95"/>
      <c r="C2" s="95"/>
      <c r="D2" s="96"/>
      <c r="E2" s="97"/>
      <c r="F2" s="96"/>
      <c r="G2" s="96"/>
      <c r="H2" s="96"/>
      <c r="I2" s="96"/>
      <c r="J2" s="96"/>
      <c r="K2" s="102"/>
      <c r="L2" s="102"/>
      <c r="M2" s="96"/>
      <c r="N2" s="96"/>
      <c r="O2" s="96"/>
      <c r="P2" s="96"/>
      <c r="Q2" s="96"/>
      <c r="R2" s="77"/>
      <c r="S2" s="96"/>
      <c r="T2" s="96"/>
      <c r="U2" s="32"/>
      <c r="V2" s="96"/>
      <c r="W2" s="77"/>
      <c r="X2" s="96"/>
      <c r="Y2" s="98"/>
      <c r="Z2" s="96"/>
      <c r="AA2" s="96"/>
      <c r="AB2" s="77"/>
      <c r="AC2" s="77"/>
      <c r="AD2" s="77"/>
      <c r="AE2" s="77"/>
      <c r="AF2" s="99"/>
      <c r="AG2" s="100"/>
      <c r="AH2" s="84"/>
      <c r="AI2" s="49"/>
      <c r="AJ2" s="56"/>
      <c r="AK2" s="49"/>
      <c r="AL2" s="49"/>
      <c r="AM2" s="49"/>
      <c r="AN2" s="49"/>
      <c r="AO2" s="49"/>
      <c r="AP2" s="49"/>
      <c r="AQ2" s="100"/>
      <c r="AR2" s="105"/>
      <c r="AS2" s="100"/>
      <c r="AT2" s="100"/>
      <c r="AU2" s="62"/>
      <c r="AV2" s="108">
        <v>0.5</v>
      </c>
      <c r="AW2" s="107">
        <v>4</v>
      </c>
      <c r="AX2" s="107">
        <v>12</v>
      </c>
      <c r="AY2" s="107">
        <v>24</v>
      </c>
      <c r="AZ2" s="108"/>
      <c r="BA2" s="108"/>
      <c r="BB2" s="108"/>
      <c r="BC2" s="108"/>
      <c r="BD2" s="108"/>
      <c r="BE2" s="108"/>
      <c r="BF2" s="108"/>
      <c r="BG2" s="108"/>
      <c r="BH2" s="108"/>
      <c r="BI2" s="108"/>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1"/>
      <c r="CS2" s="1"/>
      <c r="CT2" s="1"/>
      <c r="CU2" s="1"/>
    </row>
    <row r="3" spans="1:99" s="9" customFormat="1" ht="12" customHeight="1" x14ac:dyDescent="0.2">
      <c r="A3" s="94">
        <v>43509</v>
      </c>
      <c r="B3" s="95" t="s">
        <v>198</v>
      </c>
      <c r="C3" s="95" t="s">
        <v>199</v>
      </c>
      <c r="D3" s="96">
        <v>2005</v>
      </c>
      <c r="E3" s="97">
        <v>1</v>
      </c>
      <c r="F3" s="96">
        <v>5</v>
      </c>
      <c r="G3" s="96">
        <v>5</v>
      </c>
      <c r="H3" s="96" t="s">
        <v>24</v>
      </c>
      <c r="I3" s="96" t="s">
        <v>89</v>
      </c>
      <c r="J3" s="96" t="s">
        <v>82</v>
      </c>
      <c r="K3" s="77" t="str">
        <f>IF(J3="syllables","1",IF(J3="trigrams","2",IF(J3="strings","3",IF(J3="visual array","4",IF(J3="characters","5",IF(J3="letters","6",IF(J3="free forms","7",IF(J3="odors","8",IF(J3="words","9",IF(J3="pictures","10",IF(J3="object pictures","11",IF(J3="faces","12",IF(J3="names","13",IF(J3="idioms","14",IF(J3="grades","15",IF(J3="syllable-digit pairs","16",IF(J3="trigram-word pairs","17",IF(J3="word-digit pairs","18",IF(J3="English-Swahili pairs","19",IF(J3="spatial position","20",IF(J3="word pairs","21",IF(J3="word triads","22",IF(J3="generated words","23",IF(J3="word definition pairs","24",IF(J3="math problems","25",IF(J3="famous faces","26",IF(J3="famous names","27",IF(J3="famous voices","28",IF(J3="television programs","29",IF(J3="race horses","30",IF(J3="new vocabulary","31",IF(J3="sentences","32",IF(J3="concepts","33",IF(J3="ad slides","34",IF(J3="scenes","35",IF(J3="famous scenes","36",IF(J3="poems","37",IF(J3="walk","38",IF(J3="faces and events","39",IF(J3="events and names","40",IF(J3="flashbulb","41",IF(J3="stories","42",IF(J3="course material","43",IF(J3="autobiographical","44",IF(J3="novels","45",IF(J3="public events","46",IF(J3="order","90","99")))))))))))))))))))))))))))))))))))))))))))))))</f>
        <v>10</v>
      </c>
      <c r="L3" s="77" t="str">
        <f>IF(J3="syllables","1",IF(J3="trigrams","1",IF(J3="strings","1",IF(J3="visual array","1",IF(J3="characters","1",IF(J3="letters","1",IF(J3="free forms","1",IF(J3="odors","2",IF(J3="words","2",IF(J3="pictures","2",IF(J3="object pictures","2",IF(J3="faces","2",IF(J3="names","2",IF(J3="idioms","2",IF(J3="grades","2",IF(J3="syllable-digit pairs","3",IF(J3="trigram-word pairs","3",IF(J3="word-digit pairs","3",IF(J3="English-Swahili pairs","3",IF(J3="spatial position","3",IF(J3="word pairs","4",IF(J3="word triads","4",IF(J3="generated words","4",IF(J3="word definition pairs","4",IF(J3="math problems","4",IF(J3="famous faces","4",IF(J3="famous names","4",IF(J3="famous voices","4",IF(J3="television programs","4",IF(J3="race horses","4",IF(J3="new vocabulary","4",IF(J3="sentences","5",IF(J3="concepts","5",IF(J3="ad slides","5",IF(J3="scenes","5",IF(J3="famous scenes","5",IF(J3="poems","6",IF(J3="walk","6",IF(J3="faces and events","6",IF(J3="events and names","6",IF(J3="flashbulb","7",IF(J3="stories","7",IF(J3="course material","7",IF(J3="autobiographical","7",IF(J3="novels","7",IF(J3="public events","7",IF(J3="order","90","99")))))))))))))))))))))))))))))))))))))))))))))))</f>
        <v>2</v>
      </c>
      <c r="M3" s="96" t="s">
        <v>195</v>
      </c>
      <c r="N3" s="96">
        <v>1</v>
      </c>
      <c r="O3" s="96" t="s">
        <v>195</v>
      </c>
      <c r="P3" s="96"/>
      <c r="Q3" s="96" t="s">
        <v>18</v>
      </c>
      <c r="R3" s="77" t="str">
        <f>IF(Q3="Free Recall","1",IF(Q3="Cued Recall","2",IF(Q3="Recognition","3",IF(Q3="Multiple Choice","4",IF(Q3="Savings","5",IF(Q3="Stem Completion","6",IF(Q3="Fragment Completion","7",IF(Q3="anagram solution","8",IF(Q3="Matching","9",IF(Q3="Problem Solving","10","99"))))))))))</f>
        <v>3</v>
      </c>
      <c r="S3" s="77" t="s">
        <v>196</v>
      </c>
      <c r="T3" s="96" t="s">
        <v>132</v>
      </c>
      <c r="U3" s="32">
        <f>IF(T3="within",1,0)</f>
        <v>1</v>
      </c>
      <c r="V3" s="96">
        <v>128</v>
      </c>
      <c r="W3" s="77">
        <f>F3*V3</f>
        <v>640</v>
      </c>
      <c r="X3" s="96">
        <v>4</v>
      </c>
      <c r="Y3" s="98">
        <f>AV2</f>
        <v>0.5</v>
      </c>
      <c r="Z3" s="96" t="s">
        <v>200</v>
      </c>
      <c r="AA3" s="96">
        <v>24</v>
      </c>
      <c r="AB3" s="77" t="str">
        <f>IF(AA3&lt;60,"1",IF(AA3&lt;=43200,"2",IF(AA3&lt;=777600,"3","4")))</f>
        <v>1</v>
      </c>
      <c r="AC3" s="100">
        <f>AVERAGE(AV2:DA2)</f>
        <v>10.125</v>
      </c>
      <c r="AD3" s="77" t="str">
        <f>IF(AC3&lt;60,"1",IF(AC3&lt;=43200,"2",IF(AC3&lt;=777600,"3","4")))</f>
        <v>1</v>
      </c>
      <c r="AE3" s="98">
        <f>AA3-Y3</f>
        <v>23.5</v>
      </c>
      <c r="AF3" s="99">
        <f>AV3</f>
        <v>1.5</v>
      </c>
      <c r="AG3" s="100">
        <f>((AW3-AV3)+(AX3-AW3)+(AY3-AX3))/3</f>
        <v>-7.333333333333332E-2</v>
      </c>
      <c r="AH3" s="84"/>
      <c r="AI3" s="100">
        <f>RSQ(AV3:AY3,AV2:AY2)</f>
        <v>0.65021461825456972</v>
      </c>
      <c r="AJ3" s="105">
        <f>SLOPE(AV3:AY3,AV2:AY2)</f>
        <v>-7.6911285686913199E-3</v>
      </c>
      <c r="AK3" s="100">
        <f>INTERCEPT(AV3:AY3,AV2:AY2)</f>
        <v>1.4353726767579997</v>
      </c>
      <c r="AL3" s="100">
        <f>INDEX(LINEST(LN(AV3:AY3),LN(AV2:AY2),TRUE,TRUE),3,1)</f>
        <v>0.98084976355023101</v>
      </c>
      <c r="AM3" s="100">
        <f>INDEX(LINEST(LN(AV3:AY3),LN(AV2:AY2)),1)</f>
        <v>-4.1840702811851621E-2</v>
      </c>
      <c r="AN3" s="100">
        <f>EXP(INDEX(LINEST(LN(AV3:AY3),LN(AV2:AY2)),1,2))</f>
        <v>1.4480017661175297</v>
      </c>
      <c r="AO3" s="104">
        <f>INDEX(LINEST((AV3:AY3),LN(AV2:AY2),TRUE,TRUE),3,1)</f>
        <v>0.97576429961953848</v>
      </c>
      <c r="AP3" s="104">
        <f>INDEX(LINEST((AV3:AY3),LN(AV2:AY2)),1)</f>
        <v>-5.8103120793874093E-2</v>
      </c>
      <c r="AQ3" s="48">
        <f>INDEX(LINEST(LN(AV3:AY3),SQRT(AV2:AY2),TRUE,TRUE),3,1)</f>
        <v>0.84348377618164061</v>
      </c>
      <c r="AR3" s="56">
        <f>INDEX(LINEST(LN(AV3:AY3),SQRT((AV2:AY2))),1)</f>
        <v>-3.6183100196857068E-2</v>
      </c>
      <c r="AS3" s="49">
        <f>INDEX(LINEST(1/(AV3:AY3),1/(SQRT(AV2:AY2)),TRUE,TRUE),3,1)</f>
        <v>0.98775167810129105</v>
      </c>
      <c r="AT3" s="49">
        <f>INDEX(LINEST(1/(AV3:AY3),1/SQRT(AV2:AY2)),1)</f>
        <v>-9.1962074627501778E-2</v>
      </c>
      <c r="AU3" s="63"/>
      <c r="AV3" s="108">
        <v>1.5</v>
      </c>
      <c r="AW3" s="108">
        <v>1.35</v>
      </c>
      <c r="AX3" s="108">
        <v>1.3</v>
      </c>
      <c r="AY3" s="108">
        <v>1.28</v>
      </c>
      <c r="AZ3" s="108"/>
      <c r="BA3" s="108"/>
      <c r="BB3" s="108"/>
      <c r="BC3" s="108"/>
      <c r="BD3" s="108"/>
      <c r="BE3" s="108"/>
      <c r="BF3" s="108"/>
      <c r="BG3" s="108"/>
      <c r="BH3" s="108"/>
      <c r="BI3" s="108"/>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1"/>
      <c r="CS3" s="1"/>
      <c r="CT3" s="1"/>
      <c r="CU3" s="1"/>
    </row>
    <row r="4" spans="1:99" s="9" customFormat="1" ht="12" customHeight="1" x14ac:dyDescent="0.2">
      <c r="A4" s="37">
        <v>43509</v>
      </c>
      <c r="B4" s="1"/>
      <c r="C4" s="1"/>
      <c r="D4" s="32"/>
      <c r="E4" s="41"/>
      <c r="F4" s="32"/>
      <c r="G4" s="32"/>
      <c r="H4" s="32"/>
      <c r="I4" s="32"/>
      <c r="J4" s="32"/>
      <c r="K4" s="36"/>
      <c r="L4" s="36"/>
      <c r="M4" s="32"/>
      <c r="N4" s="32"/>
      <c r="O4" s="32"/>
      <c r="P4" s="32"/>
      <c r="Q4" s="32"/>
      <c r="R4" s="32"/>
      <c r="S4" s="32"/>
      <c r="T4" s="32"/>
      <c r="U4" s="32"/>
      <c r="V4" s="32"/>
      <c r="W4" s="32"/>
      <c r="X4" s="32"/>
      <c r="Y4" s="41"/>
      <c r="Z4" s="32"/>
      <c r="AA4" s="32"/>
      <c r="AB4" s="32"/>
      <c r="AC4" s="32"/>
      <c r="AD4" s="32"/>
      <c r="AE4" s="32"/>
      <c r="AF4" s="45"/>
      <c r="AG4" s="28"/>
      <c r="AH4" s="4"/>
      <c r="AI4" s="28"/>
      <c r="AJ4" s="51"/>
      <c r="AK4" s="28"/>
      <c r="AL4" s="28"/>
      <c r="AM4" s="28"/>
      <c r="AN4" s="28"/>
      <c r="AO4" s="28"/>
      <c r="AP4" s="28"/>
      <c r="AQ4" s="28"/>
      <c r="AR4" s="51"/>
      <c r="AS4" s="28"/>
      <c r="AT4" s="28"/>
      <c r="AU4" s="4"/>
      <c r="AV4" s="26">
        <v>1.5</v>
      </c>
      <c r="AW4" s="18">
        <v>3</v>
      </c>
      <c r="AX4" s="18">
        <v>6</v>
      </c>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1"/>
      <c r="CS4" s="1"/>
      <c r="CT4" s="1"/>
      <c r="CU4" s="1"/>
    </row>
    <row r="5" spans="1:99" s="9" customFormat="1" ht="12" customHeight="1" x14ac:dyDescent="0.2">
      <c r="A5" s="37">
        <v>43509</v>
      </c>
      <c r="B5" s="1" t="s">
        <v>70</v>
      </c>
      <c r="C5" s="1" t="s">
        <v>17</v>
      </c>
      <c r="D5" s="32">
        <v>2010</v>
      </c>
      <c r="E5" s="41">
        <v>1</v>
      </c>
      <c r="F5" s="32">
        <v>30</v>
      </c>
      <c r="G5" s="32">
        <v>30</v>
      </c>
      <c r="H5" s="32" t="s">
        <v>14</v>
      </c>
      <c r="I5" s="32" t="s">
        <v>144</v>
      </c>
      <c r="J5" s="32" t="s">
        <v>147</v>
      </c>
      <c r="K5" s="32">
        <f>IF(J5="syllables",1,IF(J5="trigrams",2,IF(J5="strings",3,IF(J5="visual array",4,IF(J5="characters",5,IF(J5="letters",6,IF(J5="free forms",7,IF(J5="odors",8,IF(J5="words",9,IF(J5="pictures",10,IF(J5="object pictures",11,IF(J5="faces",12,IF(J5="names",13,IF(J5="idioms",14,IF(J5="grades",15,IF(J5="syllable-digit pairs",16,IF(J5="trigram-word pairs",17,IF(J5="word-digit pairs",18,IF(J5="English-Swahili pairs",19,IF(J5="spatial position",20,IF(J5="word pairs",21,IF(J5="word triads",22,IF(J5="generated words",23,IF(J5="word definition pairs",24,IF(J5="math problems",25,IF(J5="famous faces",26,IF(J5="famous names",27,IF(J5="famous voices",28,IF(J5="television programs",29,IF(J5="race horses",30,IF(J5="new vocabulary",31,IF(J5="sentences",32,IF(J5="concepts",33,IF(J5="ad slides",34,IF(J5="scenes",35,IF(J5="famous scenes",36,IF(J5="poems",37,IF(J5="walk",38,IF(J5="faces and events",39,IF(J5="events and names",40,IF(J5="flashbulb",41,IF(J5="stories",42,IF(J5="course material",43,IF(J5="autobiographical",44,IF(J5="novels",45,IF(J5="public events",46,"99"))))))))))))))))))))))))))))))))))))))))))))))</f>
        <v>4</v>
      </c>
      <c r="L5" s="32">
        <f>IF(J5="syllables",1,IF(J5="trigrams",1,IF(J5="strings",1,IF(J5="visual array",1,IF(J5="characters",1,IF(J5="letters",1,IF(J5="free forms",1,IF(J5="odors",2,IF(J5="words",2,IF(J5="pictures",2,IF(J5="object pictures",2,IF(J5="faces",2,IF(J5="names",2,IF(J5="idioms","2",IF(J5="grades",2,IF(J5="syllable-digit pairs",3,IF(J5="trigram-word pairs",3,IF(J5="word-digit pairs",3,IF(J5="English-Swahili pairs",3,IF(J5="spatial position",3,IF(J5="word pairs",4,IF(J5="word triads",4,IF(J5="generated words",4,IF(J5="word definition pairs",4,IF(J5="math problems",4,IF(J5="famous faces",4,IF(J5="famous names",4,IF(J5="famous voices",4,IF(J5="television programs",4,IF(J5="race horses",4,IF(J5="new vocabulary",4,IF(J5="sentences",5,IF(J5="concepts",5,IF(J5="ad slides",5,IF(J5="scenes",5,IF(J5="famous scenes",5,IF(J5="poems",6,IF(J5="walk",6,IF(J5="faces and events",6,IF(J5="events and names",6,IF(J5="flashbulb",7,IF(J5="stories",7,IF(J5="course material",7,IF(J5="autobiographical",7,IF(J5="novels",7,IF(J5="public events",7,"99"))))))))))))))))))))))))))))))))))))))))))))))</f>
        <v>1</v>
      </c>
      <c r="M5" s="32">
        <v>0</v>
      </c>
      <c r="N5" s="32">
        <v>1</v>
      </c>
      <c r="O5" s="32">
        <v>1</v>
      </c>
      <c r="P5" s="32" t="s">
        <v>19</v>
      </c>
      <c r="Q5" s="32" t="s">
        <v>18</v>
      </c>
      <c r="R5" s="32">
        <f>IF(Q5="Free Recall",1,IF(Q5="Cued Recall",2,IF(Q5="Recognition",3,IF(Q5="Multiple Choice",4,IF(Q5="Savings",5,IF(Q5="Stem Completion",6,IF(Q5="Fragment Completion",7,IF(Q5="anagram solution",8,IF(Q5="Matching",9,IF(Q5="Problem Solving",10,"99"))))))))))</f>
        <v>3</v>
      </c>
      <c r="S5" s="31" t="s">
        <v>196</v>
      </c>
      <c r="T5" s="31" t="s">
        <v>132</v>
      </c>
      <c r="U5" s="32">
        <f>IF(T5="within",1,0)</f>
        <v>1</v>
      </c>
      <c r="V5" s="31">
        <v>30</v>
      </c>
      <c r="W5" s="32">
        <f>F5*V5</f>
        <v>900</v>
      </c>
      <c r="X5" s="32">
        <v>3</v>
      </c>
      <c r="Y5" s="41">
        <f>AV4</f>
        <v>1.5</v>
      </c>
      <c r="Z5" s="32" t="s">
        <v>20</v>
      </c>
      <c r="AA5" s="32">
        <v>5.9</v>
      </c>
      <c r="AB5" s="32" t="str">
        <f>IF(AA5&lt;60,"1",IF(AA5&lt;=43200,"2",IF(AA5&lt;=777600,"3","4")))</f>
        <v>1</v>
      </c>
      <c r="AC5" s="28">
        <f>AVERAGE(AV4:DA4)</f>
        <v>3.5</v>
      </c>
      <c r="AD5" s="32" t="str">
        <f>IF(AC5&lt;60,"1",IF(AC5&lt;=43200,"2",IF(AC5&lt;=777600,"3","4")))</f>
        <v>1</v>
      </c>
      <c r="AE5" s="41">
        <f>AA5-Y5</f>
        <v>4.4000000000000004</v>
      </c>
      <c r="AF5" s="45">
        <f>AV5</f>
        <v>2.1418932078794231</v>
      </c>
      <c r="AG5" s="28">
        <f>((AW5-AV5)+(AX5-AW5))/2</f>
        <v>-0.1526439134208768</v>
      </c>
      <c r="AH5" s="4"/>
      <c r="AI5" s="28">
        <f>RSQ(AV5:AX5,AV4:AX4)</f>
        <v>0.99325213611125152</v>
      </c>
      <c r="AJ5" s="51">
        <f>SLOPE(AV5:AX5,AV4:AX4)</f>
        <v>-6.6782403697885961E-2</v>
      </c>
      <c r="AK5" s="28">
        <f>INTERCEPT(AV5:AX5,AV4:AX4)</f>
        <v>2.2325327930237187</v>
      </c>
      <c r="AL5" s="28">
        <f>INDEX(LINEST(LN(AV5:AX5),LN(AV4:AX4),TRUE,TRUE),3,1)</f>
        <v>0.98350693260723931</v>
      </c>
      <c r="AM5" s="28">
        <f>INDEX(LINEST(LN(AV5:AX5),LN(AV4:AX4)),1)</f>
        <v>-0.11092243663828597</v>
      </c>
      <c r="AN5" s="28">
        <f>EXP(INDEX(LINEST(LN(AV5:AX5),LN(AV4:AX4)),1,2))</f>
        <v>2.2533402760318717</v>
      </c>
      <c r="AO5" s="47">
        <f>INDEX(LINEST((AV5:AX5),LN(AV4:AX4),TRUE,TRUE),3,1)</f>
        <v>0.98840536656453504</v>
      </c>
      <c r="AP5" s="47">
        <f>INDEX(LINEST((AV5:AX5),LN(AV4:AX4)),1)</f>
        <v>-0.22021861691418326</v>
      </c>
      <c r="AQ5" s="48">
        <f>INDEX(LINEST(LN(AV5:AX5),SQRT(AV4:AX4),TRUE,TRUE),3,1)</f>
        <v>0.99909754172789123</v>
      </c>
      <c r="AR5" s="56">
        <f>INDEX(LINEST(LN(AV5:AX5),SQRT((AV4:AX4))),1)</f>
        <v>-0.125928522369957</v>
      </c>
      <c r="AS5" s="49">
        <f>INDEX(LINEST(1/(AV5:AX5),1/(SQRT(AV4:AX4)),TRUE,TRUE),3,1)</f>
        <v>0.9397176996327623</v>
      </c>
      <c r="AT5" s="49">
        <f>INDEX(LINEST(1/(AV5:AX5),1/SQRT(AV4:AX4)),1)</f>
        <v>-0.18544274718436415</v>
      </c>
      <c r="AU5" s="3"/>
      <c r="AV5" s="25">
        <v>2.1418932078794231</v>
      </c>
      <c r="AW5" s="25">
        <v>2.0178845513262602</v>
      </c>
      <c r="AX5" s="25">
        <v>1.8366053810376695</v>
      </c>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1"/>
      <c r="CS5" s="1"/>
      <c r="CT5" s="1"/>
      <c r="CU5" s="1"/>
    </row>
    <row r="6" spans="1:99" s="9" customFormat="1" ht="12" customHeight="1" x14ac:dyDescent="0.2">
      <c r="A6" s="37">
        <v>43509</v>
      </c>
      <c r="B6" s="1"/>
      <c r="C6" s="1"/>
      <c r="D6" s="32"/>
      <c r="E6" s="41"/>
      <c r="F6" s="32"/>
      <c r="G6" s="32"/>
      <c r="H6" s="32"/>
      <c r="I6" s="32"/>
      <c r="J6" s="32"/>
      <c r="K6" s="36"/>
      <c r="L6" s="36"/>
      <c r="M6" s="32"/>
      <c r="N6" s="32"/>
      <c r="O6" s="32"/>
      <c r="P6" s="32"/>
      <c r="Q6" s="32"/>
      <c r="R6" s="32"/>
      <c r="S6" s="32"/>
      <c r="T6" s="32"/>
      <c r="U6" s="32"/>
      <c r="V6" s="32"/>
      <c r="W6" s="32"/>
      <c r="X6" s="32"/>
      <c r="Y6" s="41"/>
      <c r="Z6" s="32"/>
      <c r="AA6" s="32"/>
      <c r="AB6" s="32"/>
      <c r="AC6" s="32"/>
      <c r="AD6" s="32"/>
      <c r="AE6" s="32"/>
      <c r="AF6" s="45"/>
      <c r="AG6" s="28"/>
      <c r="AH6" s="4"/>
      <c r="AI6" s="28"/>
      <c r="AJ6" s="51"/>
      <c r="AK6" s="28"/>
      <c r="AL6" s="28"/>
      <c r="AM6" s="28"/>
      <c r="AN6" s="28"/>
      <c r="AO6" s="47"/>
      <c r="AP6" s="47"/>
      <c r="AQ6" s="47"/>
      <c r="AR6" s="55"/>
      <c r="AS6" s="47"/>
      <c r="AT6" s="47"/>
      <c r="AU6" s="3"/>
      <c r="AV6" s="26">
        <v>1.5</v>
      </c>
      <c r="AW6" s="18">
        <v>3</v>
      </c>
      <c r="AX6" s="18">
        <v>6</v>
      </c>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1"/>
      <c r="CS6" s="1"/>
      <c r="CT6" s="1"/>
      <c r="CU6" s="1"/>
    </row>
    <row r="7" spans="1:99" s="9" customFormat="1" ht="12" customHeight="1" x14ac:dyDescent="0.2">
      <c r="A7" s="37">
        <v>43509</v>
      </c>
      <c r="B7" s="1" t="s">
        <v>70</v>
      </c>
      <c r="C7" s="1" t="s">
        <v>17</v>
      </c>
      <c r="D7" s="32">
        <v>2010</v>
      </c>
      <c r="E7" s="41">
        <v>1</v>
      </c>
      <c r="F7" s="32">
        <v>30</v>
      </c>
      <c r="G7" s="32">
        <v>30</v>
      </c>
      <c r="H7" s="32" t="s">
        <v>14</v>
      </c>
      <c r="I7" s="32" t="s">
        <v>145</v>
      </c>
      <c r="J7" s="32" t="s">
        <v>147</v>
      </c>
      <c r="K7" s="32">
        <f>IF(J7="syllables",1,IF(J7="trigrams",2,IF(J7="strings",3,IF(J7="visual array",4,IF(J7="characters",5,IF(J7="letters",6,IF(J7="free forms",7,IF(J7="odors",8,IF(J7="words",9,IF(J7="pictures",10,IF(J7="object pictures",11,IF(J7="faces",12,IF(J7="names",13,IF(J7="idioms",14,IF(J7="grades",15,IF(J7="syllable-digit pairs",16,IF(J7="trigram-word pairs",17,IF(J7="word-digit pairs",18,IF(J7="English-Swahili pairs",19,IF(J7="spatial position",20,IF(J7="word pairs",21,IF(J7="word triads",22,IF(J7="generated words",23,IF(J7="word definition pairs",24,IF(J7="math problems",25,IF(J7="famous faces",26,IF(J7="famous names",27,IF(J7="famous voices",28,IF(J7="television programs",29,IF(J7="race horses",30,IF(J7="new vocabulary",31,IF(J7="sentences",32,IF(J7="concepts",33,IF(J7="ad slides",34,IF(J7="scenes",35,IF(J7="famous scenes",36,IF(J7="poems",37,IF(J7="walk",38,IF(J7="faces and events",39,IF(J7="events and names",40,IF(J7="flashbulb",41,IF(J7="stories",42,IF(J7="course material",43,IF(J7="autobiographical",44,IF(J7="novels",45,IF(J7="public events",46,"99"))))))))))))))))))))))))))))))))))))))))))))))</f>
        <v>4</v>
      </c>
      <c r="L7" s="32">
        <f>IF(J7="syllables",1,IF(J7="trigrams",1,IF(J7="strings",1,IF(J7="visual array",1,IF(J7="characters",1,IF(J7="letters",1,IF(J7="free forms",1,IF(J7="odors",2,IF(J7="words",2,IF(J7="pictures",2,IF(J7="object pictures",2,IF(J7="faces",2,IF(J7="names",2,IF(J7="idioms","2",IF(J7="grades",2,IF(J7="syllable-digit pairs",3,IF(J7="trigram-word pairs",3,IF(J7="word-digit pairs",3,IF(J7="English-Swahili pairs",3,IF(J7="spatial position",3,IF(J7="word pairs",4,IF(J7="word triads",4,IF(J7="generated words",4,IF(J7="word definition pairs",4,IF(J7="math problems",4,IF(J7="famous faces",4,IF(J7="famous names",4,IF(J7="famous voices",4,IF(J7="television programs",4,IF(J7="race horses",4,IF(J7="new vocabulary",4,IF(J7="sentences",5,IF(J7="concepts",5,IF(J7="ad slides",5,IF(J7="scenes",5,IF(J7="famous scenes",5,IF(J7="poems",6,IF(J7="walk",6,IF(J7="faces and events",6,IF(J7="events and names",6,IF(J7="flashbulb",7,IF(J7="stories",7,IF(J7="course material",7,IF(J7="autobiographical",7,IF(J7="novels",7,IF(J7="public events",7,"99"))))))))))))))))))))))))))))))))))))))))))))))</f>
        <v>1</v>
      </c>
      <c r="M7" s="32">
        <v>0</v>
      </c>
      <c r="N7" s="32">
        <v>1</v>
      </c>
      <c r="O7" s="32">
        <v>1</v>
      </c>
      <c r="P7" s="32" t="s">
        <v>19</v>
      </c>
      <c r="Q7" s="32" t="s">
        <v>18</v>
      </c>
      <c r="R7" s="32">
        <f>IF(Q7="Free Recall",1,IF(Q7="Cued Recall",2,IF(Q7="Recognition",3,IF(Q7="Multiple Choice",4,IF(Q7="Savings",5,IF(Q7="Stem Completion",6,IF(Q7="Fragment Completion",7,IF(Q7="anagram solution",8,IF(Q7="Matching",9,IF(Q7="Problem Solving",10,"99"))))))))))</f>
        <v>3</v>
      </c>
      <c r="S7" s="31" t="s">
        <v>196</v>
      </c>
      <c r="T7" s="31" t="s">
        <v>132</v>
      </c>
      <c r="U7" s="32">
        <f>IF(T7="within",1,0)</f>
        <v>1</v>
      </c>
      <c r="V7" s="31">
        <v>30</v>
      </c>
      <c r="W7" s="32">
        <f>F7*V7</f>
        <v>900</v>
      </c>
      <c r="X7" s="32">
        <v>3</v>
      </c>
      <c r="Y7" s="41">
        <f>AV6</f>
        <v>1.5</v>
      </c>
      <c r="Z7" s="32" t="s">
        <v>20</v>
      </c>
      <c r="AA7" s="32">
        <v>5.9</v>
      </c>
      <c r="AB7" s="32" t="str">
        <f>IF(AA7&lt;60,"1",IF(AA7&lt;=43200,"2",IF(AA7&lt;=777600,"3","4")))</f>
        <v>1</v>
      </c>
      <c r="AC7" s="28">
        <f>AVERAGE(AV6:DA6)</f>
        <v>3.5</v>
      </c>
      <c r="AD7" s="32" t="str">
        <f>IF(AC7&lt;60,"1",IF(AC7&lt;=43200,"2",IF(AC7&lt;=777600,"3","4")))</f>
        <v>1</v>
      </c>
      <c r="AE7" s="41">
        <f>AA7-Y7</f>
        <v>4.4000000000000004</v>
      </c>
      <c r="AF7" s="45">
        <f>AV7</f>
        <v>1.9878541283846878</v>
      </c>
      <c r="AG7" s="28">
        <f>((AW7-AV7)+(AX7-AW7))/2</f>
        <v>-0.43797604663352496</v>
      </c>
      <c r="AH7" s="4"/>
      <c r="AI7" s="28">
        <f>RSQ(AV7:AX7,AV6:AX6)</f>
        <v>0.98615045353761965</v>
      </c>
      <c r="AJ7" s="51">
        <f>SLOPE(AV7:AX7,AV6:AX6)</f>
        <v>-0.19031553292731232</v>
      </c>
      <c r="AK7" s="28">
        <f>INTERCEPT(AV7:AX7,AV6:AX6)</f>
        <v>2.2342630375873673</v>
      </c>
      <c r="AL7" s="28">
        <f>INDEX(LINEST(LN(AV7:AX7),LN(AV6:AX6),TRUE,TRUE),3,1)</f>
        <v>0.97747139078539813</v>
      </c>
      <c r="AM7" s="28">
        <f>INDEX(LINEST(LN(AV7:AX7),LN(AV6:AX6)),1)</f>
        <v>-0.41909110484810935</v>
      </c>
      <c r="AN7" s="28">
        <f>EXP(INDEX(LINEST(LN(AV7:AX7),LN(AV6:AX6)),1,2))</f>
        <v>2.4167999025766114</v>
      </c>
      <c r="AO7" s="47">
        <f>INDEX(LINEST((AV7:AX7),LN(AV6:AX6),TRUE,TRUE),3,1)</f>
        <v>0.994800793055996</v>
      </c>
      <c r="AP7" s="47">
        <f>INDEX(LINEST((AV7:AX7),LN(AV6:AX6)),1)</f>
        <v>-0.63186587050633969</v>
      </c>
      <c r="AQ7" s="48">
        <f>INDEX(LINEST(LN(AV7:AX7),SQRT(AV6:AX6),TRUE,TRUE),3,1)</f>
        <v>0.99730578578153761</v>
      </c>
      <c r="AR7" s="56">
        <f>INDEX(LINEST(LN(AV7:AX7),SQRT((AV6:AX6))),1)</f>
        <v>-0.47682614319335764</v>
      </c>
      <c r="AS7" s="49">
        <f>INDEX(LINEST(1/(AV7:AX7),1/(SQRT(AV6:AX6)),TRUE,TRUE),3,1)</f>
        <v>0.89965061864396301</v>
      </c>
      <c r="AT7" s="49">
        <f>INDEX(LINEST(1/(AV7:AX7),1/SQRT(AV6:AX6)),1)</f>
        <v>-0.93965756575068204</v>
      </c>
      <c r="AU7" s="3"/>
      <c r="AV7" s="25">
        <v>1.9878541283846878</v>
      </c>
      <c r="AW7" s="25">
        <v>1.6047198535229974</v>
      </c>
      <c r="AX7" s="25">
        <v>1.1119020351176379</v>
      </c>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1"/>
      <c r="CS7" s="1"/>
      <c r="CT7" s="1"/>
      <c r="CU7" s="1"/>
    </row>
    <row r="8" spans="1:99" s="9" customFormat="1" ht="12" customHeight="1" x14ac:dyDescent="0.2">
      <c r="A8" s="37">
        <v>43509</v>
      </c>
      <c r="B8" s="1"/>
      <c r="C8" s="1"/>
      <c r="D8" s="32"/>
      <c r="E8" s="41"/>
      <c r="F8" s="32"/>
      <c r="G8" s="32"/>
      <c r="H8" s="32"/>
      <c r="I8" s="32"/>
      <c r="J8" s="32"/>
      <c r="K8" s="36"/>
      <c r="L8" s="36"/>
      <c r="M8" s="32"/>
      <c r="N8" s="32"/>
      <c r="O8" s="32"/>
      <c r="P8" s="32"/>
      <c r="Q8" s="32"/>
      <c r="R8" s="32"/>
      <c r="S8" s="32"/>
      <c r="T8" s="32"/>
      <c r="U8" s="32"/>
      <c r="V8" s="32"/>
      <c r="W8" s="32"/>
      <c r="X8" s="32"/>
      <c r="Y8" s="41"/>
      <c r="Z8" s="32"/>
      <c r="AA8" s="32"/>
      <c r="AB8" s="32"/>
      <c r="AC8" s="32"/>
      <c r="AD8" s="32"/>
      <c r="AE8" s="32"/>
      <c r="AF8" s="45"/>
      <c r="AG8" s="28"/>
      <c r="AH8" s="4"/>
      <c r="AI8" s="28"/>
      <c r="AJ8" s="51"/>
      <c r="AK8" s="28"/>
      <c r="AL8" s="28"/>
      <c r="AM8" s="28"/>
      <c r="AN8" s="28"/>
      <c r="AO8" s="47"/>
      <c r="AP8" s="47"/>
      <c r="AQ8" s="47"/>
      <c r="AR8" s="55"/>
      <c r="AS8" s="47"/>
      <c r="AT8" s="47"/>
      <c r="AU8" s="3"/>
      <c r="AV8" s="26">
        <v>1.5</v>
      </c>
      <c r="AW8" s="18">
        <v>3</v>
      </c>
      <c r="AX8" s="18">
        <v>6</v>
      </c>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1"/>
      <c r="CS8" s="1"/>
      <c r="CT8" s="1"/>
      <c r="CU8" s="1"/>
    </row>
    <row r="9" spans="1:99" s="15" customFormat="1" ht="12" customHeight="1" x14ac:dyDescent="0.2">
      <c r="A9" s="37">
        <v>43509</v>
      </c>
      <c r="B9" s="1" t="s">
        <v>70</v>
      </c>
      <c r="C9" s="1" t="s">
        <v>17</v>
      </c>
      <c r="D9" s="32">
        <v>2010</v>
      </c>
      <c r="E9" s="41">
        <v>1</v>
      </c>
      <c r="F9" s="32">
        <v>30</v>
      </c>
      <c r="G9" s="32">
        <v>30</v>
      </c>
      <c r="H9" s="32" t="s">
        <v>14</v>
      </c>
      <c r="I9" s="32" t="s">
        <v>146</v>
      </c>
      <c r="J9" s="32" t="s">
        <v>147</v>
      </c>
      <c r="K9" s="32">
        <f>IF(J9="syllables",1,IF(J9="trigrams",2,IF(J9="strings",3,IF(J9="visual array",4,IF(J9="characters",5,IF(J9="letters",6,IF(J9="free forms",7,IF(J9="odors",8,IF(J9="words",9,IF(J9="pictures",10,IF(J9="object pictures",11,IF(J9="faces",12,IF(J9="names",13,IF(J9="idioms",14,IF(J9="grades",15,IF(J9="syllable-digit pairs",16,IF(J9="trigram-word pairs",17,IF(J9="word-digit pairs",18,IF(J9="English-Swahili pairs",19,IF(J9="spatial position",20,IF(J9="word pairs",21,IF(J9="word triads",22,IF(J9="generated words",23,IF(J9="word definition pairs",24,IF(J9="math problems",25,IF(J9="famous faces",26,IF(J9="famous names",27,IF(J9="famous voices",28,IF(J9="television programs",29,IF(J9="race horses",30,IF(J9="new vocabulary",31,IF(J9="sentences",32,IF(J9="concepts",33,IF(J9="ad slides",34,IF(J9="scenes",35,IF(J9="famous scenes",36,IF(J9="poems",37,IF(J9="walk",38,IF(J9="faces and events",39,IF(J9="events and names",40,IF(J9="flashbulb",41,IF(J9="stories",42,IF(J9="course material",43,IF(J9="autobiographical",44,IF(J9="novels",45,IF(J9="public events",46,"99"))))))))))))))))))))))))))))))))))))))))))))))</f>
        <v>4</v>
      </c>
      <c r="L9" s="32">
        <f>IF(J9="syllables",1,IF(J9="trigrams",1,IF(J9="strings",1,IF(J9="visual array",1,IF(J9="characters",1,IF(J9="letters",1,IF(J9="free forms",1,IF(J9="odors",2,IF(J9="words",2,IF(J9="pictures",2,IF(J9="object pictures",2,IF(J9="faces",2,IF(J9="names",2,IF(J9="idioms","2",IF(J9="grades",2,IF(J9="syllable-digit pairs",3,IF(J9="trigram-word pairs",3,IF(J9="word-digit pairs",3,IF(J9="English-Swahili pairs",3,IF(J9="spatial position",3,IF(J9="word pairs",4,IF(J9="word triads",4,IF(J9="generated words",4,IF(J9="word definition pairs",4,IF(J9="math problems",4,IF(J9="famous faces",4,IF(J9="famous names",4,IF(J9="famous voices",4,IF(J9="television programs",4,IF(J9="race horses",4,IF(J9="new vocabulary",4,IF(J9="sentences",5,IF(J9="concepts",5,IF(J9="ad slides",5,IF(J9="scenes",5,IF(J9="famous scenes",5,IF(J9="poems",6,IF(J9="walk",6,IF(J9="faces and events",6,IF(J9="events and names",6,IF(J9="flashbulb",7,IF(J9="stories",7,IF(J9="course material",7,IF(J9="autobiographical",7,IF(J9="novels",7,IF(J9="public events",7,"99"))))))))))))))))))))))))))))))))))))))))))))))</f>
        <v>1</v>
      </c>
      <c r="M9" s="32">
        <v>0</v>
      </c>
      <c r="N9" s="32">
        <v>1</v>
      </c>
      <c r="O9" s="32">
        <v>1</v>
      </c>
      <c r="P9" s="32" t="s">
        <v>19</v>
      </c>
      <c r="Q9" s="32" t="s">
        <v>18</v>
      </c>
      <c r="R9" s="32">
        <f>IF(Q9="Free Recall",1,IF(Q9="Cued Recall",2,IF(Q9="Recognition",3,IF(Q9="Multiple Choice",4,IF(Q9="Savings",5,IF(Q9="Stem Completion",6,IF(Q9="Fragment Completion",7,IF(Q9="anagram solution",8,IF(Q9="Matching",9,IF(Q9="Problem Solving",10,"99"))))))))))</f>
        <v>3</v>
      </c>
      <c r="S9" s="31" t="s">
        <v>196</v>
      </c>
      <c r="T9" s="31" t="s">
        <v>132</v>
      </c>
      <c r="U9" s="32">
        <f>IF(T9="within",1,0)</f>
        <v>1</v>
      </c>
      <c r="V9" s="31">
        <v>30</v>
      </c>
      <c r="W9" s="32">
        <f>F9*V9</f>
        <v>900</v>
      </c>
      <c r="X9" s="32">
        <v>3</v>
      </c>
      <c r="Y9" s="41">
        <f>AV8</f>
        <v>1.5</v>
      </c>
      <c r="Z9" s="32" t="s">
        <v>20</v>
      </c>
      <c r="AA9" s="32">
        <v>5.9</v>
      </c>
      <c r="AB9" s="32" t="str">
        <f>IF(AA9&lt;60,"1",IF(AA9&lt;=43200,"2",IF(AA9&lt;=777600,"3","4")))</f>
        <v>1</v>
      </c>
      <c r="AC9" s="28">
        <f>AVERAGE(AV8:DA8)</f>
        <v>3.5</v>
      </c>
      <c r="AD9" s="32" t="str">
        <f>IF(AC9&lt;60,"1",IF(AC9&lt;=43200,"2",IF(AC9&lt;=777600,"3","4")))</f>
        <v>1</v>
      </c>
      <c r="AE9" s="41">
        <f>AA9-Y9</f>
        <v>4.4000000000000004</v>
      </c>
      <c r="AF9" s="45">
        <f>AV9</f>
        <v>1.5975106585391123</v>
      </c>
      <c r="AG9" s="28">
        <f>((AW9-AV9)+(AX9-AW9))/2</f>
        <v>-0.26887115419253593</v>
      </c>
      <c r="AH9" s="4"/>
      <c r="AI9" s="28">
        <f>RSQ(AV9:AX9,AV8:AX8)</f>
        <v>0.9945653239352118</v>
      </c>
      <c r="AJ9" s="51">
        <f>SLOPE(AV9:AX9,AV8:AX8)</f>
        <v>-0.11782213192112227</v>
      </c>
      <c r="AK9" s="28">
        <f>INTERCEPT(AV9:AX9,AV8:AX8)</f>
        <v>1.7591584269407525</v>
      </c>
      <c r="AL9" s="28">
        <f>INDEX(LINEST(LN(AV9:AX9),LN(AV8:AX8),TRUE,TRUE),3,1)</f>
        <v>0.97133756240334646</v>
      </c>
      <c r="AM9" s="28">
        <f>INDEX(LINEST(LN(AV9:AX9),LN(AV8:AX8)),1)</f>
        <v>-0.29603830479199178</v>
      </c>
      <c r="AN9" s="28">
        <f>EXP(INDEX(LINEST(LN(AV9:AX9),LN(AV8:AX8)),1,2))</f>
        <v>1.8382806588340852</v>
      </c>
      <c r="AO9" s="47">
        <f>INDEX(LINEST((AV9:AX9),LN(AV8:AX8),TRUE,TRUE),3,1)</f>
        <v>0.9865263263549916</v>
      </c>
      <c r="AP9" s="47">
        <f>INDEX(LINEST((AV9:AX9),LN(AV8:AX8)),1)</f>
        <v>-0.38789908079166341</v>
      </c>
      <c r="AQ9" s="48">
        <f>INDEX(LINEST(LN(AV9:AX9),SQRT(AV8:AX8),TRUE,TRUE),3,1)</f>
        <v>0.99491302031829476</v>
      </c>
      <c r="AR9" s="56">
        <f>INDEX(LINEST(LN(AV9:AX9),SQRT((AV8:AX8))),1)</f>
        <v>-0.33747751917640911</v>
      </c>
      <c r="AS9" s="49">
        <f>INDEX(LINEST(1/(AV9:AX9),1/(SQRT(AV8:AX8)),TRUE,TRUE),3,1)</f>
        <v>0.90129885841503399</v>
      </c>
      <c r="AT9" s="49">
        <f>INDEX(LINEST(1/(AV9:AX9),1/SQRT(AV8:AX8)),1)</f>
        <v>-0.75333322448847018</v>
      </c>
      <c r="AU9" s="3"/>
      <c r="AV9" s="25">
        <v>1.5975106585391123</v>
      </c>
      <c r="AW9" s="25">
        <v>1.3830638869573209</v>
      </c>
      <c r="AX9" s="25">
        <v>1.0597683501540405</v>
      </c>
      <c r="AY9" s="25"/>
      <c r="AZ9" s="25"/>
      <c r="BA9" s="25"/>
      <c r="BB9" s="25"/>
      <c r="BC9" s="25"/>
      <c r="BD9" s="25"/>
      <c r="BE9" s="25"/>
      <c r="BF9" s="25"/>
      <c r="BG9" s="25"/>
      <c r="BH9" s="25"/>
      <c r="BI9" s="25"/>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3"/>
      <c r="CS9" s="13"/>
      <c r="CT9" s="13"/>
      <c r="CU9" s="13"/>
    </row>
    <row r="10" spans="1:99" s="15" customFormat="1" ht="12" customHeight="1" x14ac:dyDescent="0.2">
      <c r="A10" s="37">
        <v>43509</v>
      </c>
      <c r="B10" s="1"/>
      <c r="C10" s="1"/>
      <c r="D10" s="32"/>
      <c r="E10" s="41"/>
      <c r="F10" s="32"/>
      <c r="G10" s="32"/>
      <c r="H10" s="32"/>
      <c r="I10" s="32"/>
      <c r="J10" s="32"/>
      <c r="K10" s="36"/>
      <c r="L10" s="36"/>
      <c r="M10" s="32"/>
      <c r="N10" s="32"/>
      <c r="O10" s="32"/>
      <c r="P10" s="32"/>
      <c r="Q10" s="32"/>
      <c r="R10" s="32"/>
      <c r="S10" s="32"/>
      <c r="T10" s="32"/>
      <c r="U10" s="32"/>
      <c r="V10" s="32"/>
      <c r="W10" s="32"/>
      <c r="X10" s="32"/>
      <c r="Y10" s="41"/>
      <c r="Z10" s="32"/>
      <c r="AA10" s="32"/>
      <c r="AB10" s="32"/>
      <c r="AC10" s="32"/>
      <c r="AD10" s="32"/>
      <c r="AE10" s="32"/>
      <c r="AF10" s="45"/>
      <c r="AG10" s="28"/>
      <c r="AH10" s="4"/>
      <c r="AI10" s="28"/>
      <c r="AJ10" s="51"/>
      <c r="AK10" s="28"/>
      <c r="AL10" s="28"/>
      <c r="AM10" s="28"/>
      <c r="AN10" s="28"/>
      <c r="AO10" s="28"/>
      <c r="AP10" s="28"/>
      <c r="AQ10" s="28"/>
      <c r="AR10" s="51"/>
      <c r="AS10" s="28"/>
      <c r="AT10" s="28"/>
      <c r="AU10" s="4"/>
      <c r="AV10" s="26">
        <v>1.5</v>
      </c>
      <c r="AW10" s="18">
        <v>3</v>
      </c>
      <c r="AX10" s="18">
        <v>6</v>
      </c>
      <c r="AY10" s="25"/>
      <c r="AZ10" s="25"/>
      <c r="BA10" s="25"/>
      <c r="BB10" s="25"/>
      <c r="BC10" s="25"/>
      <c r="BD10" s="25"/>
      <c r="BE10" s="25"/>
      <c r="BF10" s="25"/>
      <c r="BG10" s="25"/>
      <c r="BH10" s="25"/>
      <c r="BI10" s="25"/>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3"/>
      <c r="CS10" s="13"/>
      <c r="CT10" s="13"/>
      <c r="CU10" s="13"/>
    </row>
    <row r="11" spans="1:99" s="15" customFormat="1" ht="12" customHeight="1" x14ac:dyDescent="0.2">
      <c r="A11" s="37">
        <v>43509</v>
      </c>
      <c r="B11" s="1" t="s">
        <v>70</v>
      </c>
      <c r="C11" s="1" t="s">
        <v>17</v>
      </c>
      <c r="D11" s="32">
        <v>2010</v>
      </c>
      <c r="E11" s="41">
        <v>2</v>
      </c>
      <c r="F11" s="32">
        <v>32</v>
      </c>
      <c r="G11" s="32">
        <v>32</v>
      </c>
      <c r="H11" s="32" t="s">
        <v>22</v>
      </c>
      <c r="I11" s="32" t="s">
        <v>144</v>
      </c>
      <c r="J11" s="32" t="s">
        <v>148</v>
      </c>
      <c r="K11" s="32">
        <f>IF(J11="syllables",1,IF(J11="trigrams",2,IF(J11="strings",3,IF(J11="visual array",4,IF(J11="characters",5,IF(J11="letters",6,IF(J11="free forms",7,IF(J11="odors",8,IF(J11="words",9,IF(J11="pictures",10,IF(J11="object pictures",11,IF(J11="faces",12,IF(J11="names",13,IF(J11="idioms",14,IF(J11="grades",15,IF(J11="syllable-digit pairs",16,IF(J11="trigram-word pairs",17,IF(J11="word-digit pairs",18,IF(J11="English-Swahili pairs",19,IF(J11="spatial position",20,IF(J11="word pairs",21,IF(J11="word triads",22,IF(J11="generated words",23,IF(J11="word definition pairs",24,IF(J11="math problems",25,IF(J11="famous faces",26,IF(J11="famous names",27,IF(J11="famous voices",28,IF(J11="television programs",29,IF(J11="race horses",30,IF(J11="new vocabulary",31,IF(J11="sentences",32,IF(J11="concepts",33,IF(J11="ad slides",34,IF(J11="scenes",35,IF(J11="famous scenes",36,IF(J11="poems",37,IF(J11="walk",38,IF(J11="faces and events",39,IF(J11="events and names",40,IF(J11="flashbulb",41,IF(J11="stories",42,IF(J11="course material",43,IF(J11="autobiographical",44,IF(J11="novels",45,IF(J11="public events",46,"99"))))))))))))))))))))))))))))))))))))))))))))))</f>
        <v>5</v>
      </c>
      <c r="L11" s="32">
        <f>IF(J11="syllables",1,IF(J11="trigrams",1,IF(J11="strings",1,IF(J11="visual array",1,IF(J11="characters",1,IF(J11="letters",1,IF(J11="free forms",1,IF(J11="odors",2,IF(J11="words",2,IF(J11="pictures",2,IF(J11="object pictures",2,IF(J11="faces",2,IF(J11="names",2,IF(J11="idioms","2",IF(J11="grades",2,IF(J11="syllable-digit pairs",3,IF(J11="trigram-word pairs",3,IF(J11="word-digit pairs",3,IF(J11="English-Swahili pairs",3,IF(J11="spatial position",3,IF(J11="word pairs",4,IF(J11="word triads",4,IF(J11="generated words",4,IF(J11="word definition pairs",4,IF(J11="math problems",4,IF(J11="famous faces",4,IF(J11="famous names",4,IF(J11="famous voices",4,IF(J11="television programs",4,IF(J11="race horses",4,IF(J11="new vocabulary",4,IF(J11="sentences",5,IF(J11="concepts",5,IF(J11="ad slides",5,IF(J11="scenes",5,IF(J11="famous scenes",5,IF(J11="poems",6,IF(J11="walk",6,IF(J11="faces and events",6,IF(J11="events and names",6,IF(J11="flashbulb",7,IF(J11="stories",7,IF(J11="course material",7,IF(J11="autobiographical",7,IF(J11="novels",7,IF(J11="public events",7,"99"))))))))))))))))))))))))))))))))))))))))))))))</f>
        <v>1</v>
      </c>
      <c r="M11" s="32">
        <v>0</v>
      </c>
      <c r="N11" s="32">
        <v>1</v>
      </c>
      <c r="O11" s="32">
        <v>1</v>
      </c>
      <c r="P11" s="32" t="s">
        <v>21</v>
      </c>
      <c r="Q11" s="32" t="s">
        <v>18</v>
      </c>
      <c r="R11" s="32">
        <f>IF(Q11="Free Recall",1,IF(Q11="Cued Recall",2,IF(Q11="Recognition",3,IF(Q11="Multiple Choice",4,IF(Q11="Savings",5,IF(Q11="Stem Completion",6,IF(Q11="Fragment Completion",7,IF(Q11="anagram solution",8,IF(Q11="Matching",9,IF(Q11="Problem Solving",10,"99"))))))))))</f>
        <v>3</v>
      </c>
      <c r="S11" s="31" t="s">
        <v>196</v>
      </c>
      <c r="T11" s="31" t="s">
        <v>132</v>
      </c>
      <c r="U11" s="32">
        <f>IF(T11="within",1,0)</f>
        <v>1</v>
      </c>
      <c r="V11" s="31">
        <v>24</v>
      </c>
      <c r="W11" s="32">
        <f>F11*V11</f>
        <v>768</v>
      </c>
      <c r="X11" s="32">
        <v>3</v>
      </c>
      <c r="Y11" s="41">
        <f>AV10</f>
        <v>1.5</v>
      </c>
      <c r="Z11" s="32" t="s">
        <v>23</v>
      </c>
      <c r="AA11" s="32">
        <v>6</v>
      </c>
      <c r="AB11" s="32" t="str">
        <f>IF(AA11&lt;60,"1",IF(AA11&lt;=43200,"2",IF(AA11&lt;=777600,"3","4")))</f>
        <v>1</v>
      </c>
      <c r="AC11" s="28">
        <f>AVERAGE(AV10:DA10)</f>
        <v>3.5</v>
      </c>
      <c r="AD11" s="32" t="str">
        <f>IF(AC11&lt;60,"1",IF(AC11&lt;=43200,"2",IF(AC11&lt;=777600,"3","4")))</f>
        <v>1</v>
      </c>
      <c r="AE11" s="41">
        <f>AA11-Y11</f>
        <v>4.5</v>
      </c>
      <c r="AF11" s="45">
        <f>AV11</f>
        <v>2.0344845939611522</v>
      </c>
      <c r="AG11" s="28">
        <f>((AW11-AV11)+(AX11-AW11))/2</f>
        <v>-0.1977466722415685</v>
      </c>
      <c r="AH11" s="4"/>
      <c r="AI11" s="28">
        <f>RSQ(AV11:AX11,AV10:AX10)</f>
        <v>0.9999787581842956</v>
      </c>
      <c r="AJ11" s="51">
        <f>SLOPE(AV11:AX11,AV10:AX10)</f>
        <v>-8.7809523747010731E-2</v>
      </c>
      <c r="AK11" s="28">
        <f>INTERCEPT(AV11:AX11,AV10:AX10)</f>
        <v>2.1654979043384905</v>
      </c>
      <c r="AL11" s="28">
        <f>INDEX(LINEST(LN(AV11:AX11),LN(AV10:AX10),TRUE,TRUE),3,1)</f>
        <v>0.95586051113611836</v>
      </c>
      <c r="AM11" s="28">
        <f>INDEX(LINEST(LN(AV11:AX11),LN(AV10:AX10)),1)</f>
        <v>-0.15592760187876892</v>
      </c>
      <c r="AN11" s="28">
        <f>EXP(INDEX(LINEST(LN(AV11:AX11),LN(AV10:AX10)),1,2))</f>
        <v>2.196521471728528</v>
      </c>
      <c r="AO11" s="47">
        <f>INDEX(LINEST((AV11:AX11),LN(AV10:AX10),TRUE,TRUE),3,1)</f>
        <v>0.96597657628898237</v>
      </c>
      <c r="AP11" s="47">
        <f>INDEX(LINEST((AV11:AX11),LN(AV10:AX10)),1)</f>
        <v>-0.28528814339520614</v>
      </c>
      <c r="AQ11" s="48">
        <f>INDEX(LINEST(LN(AV11:AX11),SQRT(AV10:AX10),TRUE,TRUE),3,1)</f>
        <v>0.98729969172829346</v>
      </c>
      <c r="AR11" s="56">
        <f>INDEX(LINEST(LN(AV11:AX11),SQRT((AV10:AX10))),1)</f>
        <v>-0.17850061388165192</v>
      </c>
      <c r="AS11" s="49">
        <f>INDEX(LINEST(1/(AV11:AX11),1/(SQRT(AV10:AX10)),TRUE,TRUE),3,1)</f>
        <v>0.89154403263525195</v>
      </c>
      <c r="AT11" s="49">
        <f>INDEX(LINEST(1/(AV11:AX11),1/SQRT(AV10:AX10)),1)</f>
        <v>-0.28082284629668081</v>
      </c>
      <c r="AU11" s="3"/>
      <c r="AV11" s="25">
        <v>2.0344845939611522</v>
      </c>
      <c r="AW11" s="25">
        <v>1.9010178702326925</v>
      </c>
      <c r="AX11" s="25">
        <v>1.6389912494780152</v>
      </c>
      <c r="AY11" s="25"/>
      <c r="AZ11" s="25"/>
      <c r="BA11" s="25"/>
      <c r="BB11" s="25"/>
      <c r="BC11" s="25"/>
      <c r="BD11" s="25"/>
      <c r="BE11" s="25"/>
      <c r="BF11" s="25"/>
      <c r="BG11" s="25"/>
      <c r="BH11" s="25"/>
      <c r="BI11" s="25"/>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3"/>
      <c r="CS11" s="13"/>
      <c r="CT11" s="13"/>
      <c r="CU11" s="13"/>
    </row>
    <row r="12" spans="1:99" s="15" customFormat="1" ht="12" customHeight="1" x14ac:dyDescent="0.2">
      <c r="A12" s="37">
        <v>43509</v>
      </c>
      <c r="B12" s="1"/>
      <c r="C12" s="1"/>
      <c r="D12" s="32"/>
      <c r="E12" s="41"/>
      <c r="F12" s="32"/>
      <c r="G12" s="32"/>
      <c r="H12" s="32"/>
      <c r="I12" s="32"/>
      <c r="J12" s="32"/>
      <c r="K12" s="36"/>
      <c r="L12" s="36"/>
      <c r="M12" s="32"/>
      <c r="N12" s="32"/>
      <c r="O12" s="32"/>
      <c r="P12" s="32"/>
      <c r="Q12" s="32"/>
      <c r="R12" s="32"/>
      <c r="S12" s="32"/>
      <c r="T12" s="32"/>
      <c r="U12" s="32"/>
      <c r="V12" s="32"/>
      <c r="W12" s="32"/>
      <c r="X12" s="32"/>
      <c r="Y12" s="41"/>
      <c r="Z12" s="32"/>
      <c r="AA12" s="32"/>
      <c r="AB12" s="32"/>
      <c r="AC12" s="32"/>
      <c r="AD12" s="32"/>
      <c r="AE12" s="32"/>
      <c r="AF12" s="45"/>
      <c r="AG12" s="28"/>
      <c r="AH12" s="4"/>
      <c r="AI12" s="28"/>
      <c r="AJ12" s="51"/>
      <c r="AK12" s="28"/>
      <c r="AL12" s="28"/>
      <c r="AM12" s="28"/>
      <c r="AN12" s="28"/>
      <c r="AO12" s="47"/>
      <c r="AP12" s="47"/>
      <c r="AQ12" s="47"/>
      <c r="AR12" s="55"/>
      <c r="AS12" s="47"/>
      <c r="AT12" s="47"/>
      <c r="AU12" s="3"/>
      <c r="AV12" s="26">
        <v>1.5</v>
      </c>
      <c r="AW12" s="18">
        <v>3</v>
      </c>
      <c r="AX12" s="18">
        <v>6</v>
      </c>
      <c r="AY12" s="25"/>
      <c r="AZ12" s="25"/>
      <c r="BA12" s="25"/>
      <c r="BB12" s="25"/>
      <c r="BC12" s="25"/>
      <c r="BD12" s="25"/>
      <c r="BE12" s="25"/>
      <c r="BF12" s="25"/>
      <c r="BG12" s="25"/>
      <c r="BH12" s="25"/>
      <c r="BI12" s="25"/>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3"/>
      <c r="CS12" s="13"/>
      <c r="CT12" s="13"/>
      <c r="CU12" s="13"/>
    </row>
    <row r="13" spans="1:99" s="15" customFormat="1" ht="12" customHeight="1" x14ac:dyDescent="0.2">
      <c r="A13" s="37">
        <v>43509</v>
      </c>
      <c r="B13" s="1" t="s">
        <v>70</v>
      </c>
      <c r="C13" s="1" t="s">
        <v>17</v>
      </c>
      <c r="D13" s="32">
        <v>2010</v>
      </c>
      <c r="E13" s="41">
        <v>2</v>
      </c>
      <c r="F13" s="32">
        <v>32</v>
      </c>
      <c r="G13" s="32">
        <v>32</v>
      </c>
      <c r="H13" s="32" t="s">
        <v>22</v>
      </c>
      <c r="I13" s="32" t="s">
        <v>149</v>
      </c>
      <c r="J13" s="32" t="s">
        <v>148</v>
      </c>
      <c r="K13" s="32">
        <f>IF(J13="syllables",1,IF(J13="trigrams",2,IF(J13="strings",3,IF(J13="visual array",4,IF(J13="characters",5,IF(J13="letters",6,IF(J13="free forms",7,IF(J13="odors",8,IF(J13="words",9,IF(J13="pictures",10,IF(J13="object pictures",11,IF(J13="faces",12,IF(J13="names",13,IF(J13="idioms",14,IF(J13="grades",15,IF(J13="syllable-digit pairs",16,IF(J13="trigram-word pairs",17,IF(J13="word-digit pairs",18,IF(J13="English-Swahili pairs",19,IF(J13="spatial position",20,IF(J13="word pairs",21,IF(J13="word triads",22,IF(J13="generated words",23,IF(J13="word definition pairs",24,IF(J13="math problems",25,IF(J13="famous faces",26,IF(J13="famous names",27,IF(J13="famous voices",28,IF(J13="television programs",29,IF(J13="race horses",30,IF(J13="new vocabulary",31,IF(J13="sentences",32,IF(J13="concepts",33,IF(J13="ad slides",34,IF(J13="scenes",35,IF(J13="famous scenes",36,IF(J13="poems",37,IF(J13="walk",38,IF(J13="faces and events",39,IF(J13="events and names",40,IF(J13="flashbulb",41,IF(J13="stories",42,IF(J13="course material",43,IF(J13="autobiographical",44,IF(J13="novels",45,IF(J13="public events",46,"99"))))))))))))))))))))))))))))))))))))))))))))))</f>
        <v>5</v>
      </c>
      <c r="L13" s="32">
        <f>IF(J13="syllables",1,IF(J13="trigrams",1,IF(J13="strings",1,IF(J13="visual array",1,IF(J13="characters",1,IF(J13="letters",1,IF(J13="free forms",1,IF(J13="odors",2,IF(J13="words",2,IF(J13="pictures",2,IF(J13="object pictures",2,IF(J13="faces",2,IF(J13="names",2,IF(J13="idioms","2",IF(J13="grades",2,IF(J13="syllable-digit pairs",3,IF(J13="trigram-word pairs",3,IF(J13="word-digit pairs",3,IF(J13="English-Swahili pairs",3,IF(J13="spatial position",3,IF(J13="word pairs",4,IF(J13="word triads",4,IF(J13="generated words",4,IF(J13="word definition pairs",4,IF(J13="math problems",4,IF(J13="famous faces",4,IF(J13="famous names",4,IF(J13="famous voices",4,IF(J13="television programs",4,IF(J13="race horses",4,IF(J13="new vocabulary",4,IF(J13="sentences",5,IF(J13="concepts",5,IF(J13="ad slides",5,IF(J13="scenes",5,IF(J13="famous scenes",5,IF(J13="poems",6,IF(J13="walk",6,IF(J13="faces and events",6,IF(J13="events and names",6,IF(J13="flashbulb",7,IF(J13="stories",7,IF(J13="course material",7,IF(J13="autobiographical",7,IF(J13="novels",7,IF(J13="public events",7,"99"))))))))))))))))))))))))))))))))))))))))))))))</f>
        <v>1</v>
      </c>
      <c r="M13" s="32">
        <v>0</v>
      </c>
      <c r="N13" s="32">
        <v>1</v>
      </c>
      <c r="O13" s="32">
        <v>1</v>
      </c>
      <c r="P13" s="32" t="s">
        <v>21</v>
      </c>
      <c r="Q13" s="32" t="s">
        <v>18</v>
      </c>
      <c r="R13" s="32">
        <f>IF(Q13="Free Recall",1,IF(Q13="Cued Recall",2,IF(Q13="Recognition",3,IF(Q13="Multiple Choice",4,IF(Q13="Savings",5,IF(Q13="Stem Completion",6,IF(Q13="Fragment Completion",7,IF(Q13="anagram solution",8,IF(Q13="Matching",9,IF(Q13="Problem Solving",10,"99"))))))))))</f>
        <v>3</v>
      </c>
      <c r="S13" s="31" t="s">
        <v>196</v>
      </c>
      <c r="T13" s="31" t="s">
        <v>132</v>
      </c>
      <c r="U13" s="32">
        <f>IF(T13="within",1,0)</f>
        <v>1</v>
      </c>
      <c r="V13" s="31">
        <v>24</v>
      </c>
      <c r="W13" s="32">
        <f>F13*V13</f>
        <v>768</v>
      </c>
      <c r="X13" s="32">
        <v>3</v>
      </c>
      <c r="Y13" s="41">
        <f>AV12</f>
        <v>1.5</v>
      </c>
      <c r="Z13" s="32" t="s">
        <v>23</v>
      </c>
      <c r="AA13" s="32">
        <v>6</v>
      </c>
      <c r="AB13" s="32" t="str">
        <f>IF(AA13&lt;60,"1",IF(AA13&lt;=43200,"2",IF(AA13&lt;=777600,"3","4")))</f>
        <v>1</v>
      </c>
      <c r="AC13" s="28">
        <f>AVERAGE(AV12:DA12)</f>
        <v>3.5</v>
      </c>
      <c r="AD13" s="32" t="str">
        <f>IF(AC13&lt;60,"1",IF(AC13&lt;=43200,"2",IF(AC13&lt;=777600,"3","4")))</f>
        <v>1</v>
      </c>
      <c r="AE13" s="41">
        <f>AA13-Y13</f>
        <v>4.5</v>
      </c>
      <c r="AF13" s="45">
        <f>AV13</f>
        <v>1.6542119370280264</v>
      </c>
      <c r="AG13" s="28">
        <f>((AW13-AV13)+(AX13-AW13))/2</f>
        <v>-0.24466594837929601</v>
      </c>
      <c r="AH13" s="4"/>
      <c r="AI13" s="28">
        <f>RSQ(AV13:AX13,AV12:AX12)</f>
        <v>0.71985978416406005</v>
      </c>
      <c r="AJ13" s="51">
        <f>SLOPE(AV13:AX13,AV12:AX12)</f>
        <v>-9.7084855212209914E-2</v>
      </c>
      <c r="AK13" s="28">
        <f>INTERCEPT(AV13:AX13,AV12:AX12)</f>
        <v>1.6949391232390463</v>
      </c>
      <c r="AL13" s="28">
        <f>INDEX(LINEST(LN(AV13:AX13),LN(AV12:AX12),TRUE,TRUE),3,1)</f>
        <v>0.88818344543911931</v>
      </c>
      <c r="AM13" s="28">
        <f>INDEX(LINEST(LN(AV13:AX13),LN(AV12:AX12)),1)</f>
        <v>-0.25298134529679334</v>
      </c>
      <c r="AN13" s="28">
        <f>EXP(INDEX(LINEST(LN(AV13:AX13),LN(AV12:AX12)),1,2))</f>
        <v>1.7682286533584635</v>
      </c>
      <c r="AO13" s="47">
        <f>INDEX(LINEST((AV13:AX13),LN(AV12:AX12),TRUE,TRUE),3,1)</f>
        <v>0.87082862105457037</v>
      </c>
      <c r="AP13" s="47">
        <f>INDEX(LINEST((AV13:AX13),LN(AV12:AX12)),1)</f>
        <v>-0.35297835040120551</v>
      </c>
      <c r="AQ13" s="48">
        <f>INDEX(LINEST(LN(AV13:AX13),SQRT(AV12:AX12),TRUE,TRUE),3,1)</f>
        <v>0.81881193532398899</v>
      </c>
      <c r="AR13" s="56">
        <f>INDEX(LINEST(LN(AV13:AX13),SQRT((AV12:AX12))),1)</f>
        <v>-0.27360165285722626</v>
      </c>
      <c r="AS13" s="49">
        <f>INDEX(LINEST(1/(AV13:AX13),1/(SQRT(AV12:AX12)),TRUE,TRUE),3,1)</f>
        <v>0.95531575057098972</v>
      </c>
      <c r="AT13" s="49">
        <f>INDEX(LINEST(1/(AV13:AX13),1/SQRT(AV12:AX12)),1)</f>
        <v>-0.63564120743626462</v>
      </c>
      <c r="AU13" s="3"/>
      <c r="AV13" s="25">
        <v>1.6542119370280264</v>
      </c>
      <c r="AW13" s="25">
        <v>1.2463344126914746</v>
      </c>
      <c r="AX13" s="25">
        <v>1.1648800402694344</v>
      </c>
      <c r="AY13" s="25"/>
      <c r="AZ13" s="25"/>
      <c r="BA13" s="25"/>
      <c r="BB13" s="25"/>
      <c r="BC13" s="25"/>
      <c r="BD13" s="25"/>
      <c r="BE13" s="25"/>
      <c r="BF13" s="25"/>
      <c r="BG13" s="25"/>
      <c r="BH13" s="25"/>
      <c r="BI13" s="25"/>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3"/>
      <c r="CS13" s="13"/>
      <c r="CT13" s="13"/>
      <c r="CU13" s="13"/>
    </row>
    <row r="14" spans="1:99" s="15" customFormat="1" ht="12" customHeight="1" x14ac:dyDescent="0.2">
      <c r="A14" s="37">
        <v>43509</v>
      </c>
      <c r="B14" s="1"/>
      <c r="C14" s="1"/>
      <c r="D14" s="32"/>
      <c r="E14" s="41"/>
      <c r="F14" s="32"/>
      <c r="G14" s="32"/>
      <c r="H14" s="32"/>
      <c r="I14" s="32"/>
      <c r="J14" s="32"/>
      <c r="K14" s="36"/>
      <c r="L14" s="36"/>
      <c r="M14" s="32"/>
      <c r="N14" s="32"/>
      <c r="O14" s="32"/>
      <c r="P14" s="32"/>
      <c r="Q14" s="32"/>
      <c r="R14" s="32"/>
      <c r="S14" s="32"/>
      <c r="T14" s="32"/>
      <c r="U14" s="32"/>
      <c r="V14" s="32"/>
      <c r="W14" s="32"/>
      <c r="X14" s="32"/>
      <c r="Y14" s="41"/>
      <c r="Z14" s="32"/>
      <c r="AA14" s="32"/>
      <c r="AB14" s="32"/>
      <c r="AC14" s="32"/>
      <c r="AD14" s="32"/>
      <c r="AE14" s="32"/>
      <c r="AF14" s="45"/>
      <c r="AG14" s="28"/>
      <c r="AH14" s="4"/>
      <c r="AI14" s="28"/>
      <c r="AJ14" s="51"/>
      <c r="AK14" s="28"/>
      <c r="AL14" s="28"/>
      <c r="AM14" s="28"/>
      <c r="AN14" s="28"/>
      <c r="AO14" s="47"/>
      <c r="AP14" s="47"/>
      <c r="AQ14" s="47"/>
      <c r="AR14" s="55"/>
      <c r="AS14" s="47"/>
      <c r="AT14" s="47"/>
      <c r="AU14" s="3"/>
      <c r="AV14" s="26">
        <v>1.5</v>
      </c>
      <c r="AW14" s="18">
        <v>3</v>
      </c>
      <c r="AX14" s="18">
        <v>6</v>
      </c>
      <c r="AY14" s="25"/>
      <c r="AZ14" s="25"/>
      <c r="BA14" s="25"/>
      <c r="BB14" s="25"/>
      <c r="BC14" s="25"/>
      <c r="BD14" s="25"/>
      <c r="BE14" s="25"/>
      <c r="BF14" s="25"/>
      <c r="BG14" s="25"/>
      <c r="BH14" s="25"/>
      <c r="BI14" s="25"/>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3"/>
      <c r="CS14" s="13"/>
      <c r="CT14" s="13"/>
      <c r="CU14" s="13"/>
    </row>
    <row r="15" spans="1:99" s="15" customFormat="1" ht="12" customHeight="1" x14ac:dyDescent="0.2">
      <c r="A15" s="37">
        <v>43509</v>
      </c>
      <c r="B15" s="1" t="s">
        <v>70</v>
      </c>
      <c r="C15" s="1" t="s">
        <v>17</v>
      </c>
      <c r="D15" s="32">
        <v>2010</v>
      </c>
      <c r="E15" s="41">
        <v>2</v>
      </c>
      <c r="F15" s="32">
        <v>32</v>
      </c>
      <c r="G15" s="32">
        <v>32</v>
      </c>
      <c r="H15" s="32" t="s">
        <v>22</v>
      </c>
      <c r="I15" s="32" t="s">
        <v>144</v>
      </c>
      <c r="J15" s="32" t="s">
        <v>133</v>
      </c>
      <c r="K15" s="32">
        <f>IF(J15="syllables",1,IF(J15="trigrams",2,IF(J15="strings",3,IF(J15="visual array",4,IF(J15="characters",5,IF(J15="letters",6,IF(J15="free forms",7,IF(J15="odors",8,IF(J15="words",9,IF(J15="pictures",10,IF(J15="object pictures",11,IF(J15="faces",12,IF(J15="names",13,IF(J15="idioms",14,IF(J15="grades",15,IF(J15="syllable-digit pairs",16,IF(J15="trigram-word pairs",17,IF(J15="word-digit pairs",18,IF(J15="English-Swahili pairs",19,IF(J15="spatial position",20,IF(J15="word pairs",21,IF(J15="word triads",22,IF(J15="generated words",23,IF(J15="word definition pairs",24,IF(J15="math problems",25,IF(J15="famous faces",26,IF(J15="famous names",27,IF(J15="famous voices",28,IF(J15="television programs",29,IF(J15="race horses",30,IF(J15="new vocabulary",31,IF(J15="sentences",32,IF(J15="concepts",33,IF(J15="ad slides",34,IF(J15="scenes",35,IF(J15="famous scenes",36,IF(J15="poems",37,IF(J15="walk",38,IF(J15="faces and events",39,IF(J15="events and names",40,IF(J15="flashbulb",41,IF(J15="stories",42,IF(J15="course material",43,IF(J15="autobiographical",44,IF(J15="novels",45,IF(J15="public events",46,"99"))))))))))))))))))))))))))))))))))))))))))))))</f>
        <v>6</v>
      </c>
      <c r="L15" s="32">
        <f>IF(J15="syllables",1,IF(J15="trigrams",1,IF(J15="strings",1,IF(J15="visual array",1,IF(J15="characters",1,IF(J15="letters",1,IF(J15="free forms",1,IF(J15="odors",2,IF(J15="words",2,IF(J15="pictures",2,IF(J15="object pictures",2,IF(J15="faces",2,IF(J15="names",2,IF(J15="idioms","2",IF(J15="grades",2,IF(J15="syllable-digit pairs",3,IF(J15="trigram-word pairs",3,IF(J15="word-digit pairs",3,IF(J15="English-Swahili pairs",3,IF(J15="spatial position",3,IF(J15="word pairs",4,IF(J15="word triads",4,IF(J15="generated words",4,IF(J15="word definition pairs",4,IF(J15="math problems",4,IF(J15="famous faces",4,IF(J15="famous names",4,IF(J15="famous voices",4,IF(J15="television programs",4,IF(J15="race horses",4,IF(J15="new vocabulary",4,IF(J15="sentences",5,IF(J15="concepts",5,IF(J15="ad slides",5,IF(J15="scenes",5,IF(J15="famous scenes",5,IF(J15="poems",6,IF(J15="walk",6,IF(J15="faces and events",6,IF(J15="events and names",6,IF(J15="flashbulb",7,IF(J15="stories",7,IF(J15="course material",7,IF(J15="autobiographical",7,IF(J15="novels",7,IF(J15="public events",7,"99"))))))))))))))))))))))))))))))))))))))))))))))</f>
        <v>1</v>
      </c>
      <c r="M15" s="32">
        <v>0</v>
      </c>
      <c r="N15" s="32">
        <v>1</v>
      </c>
      <c r="O15" s="32">
        <v>1</v>
      </c>
      <c r="P15" s="32" t="s">
        <v>21</v>
      </c>
      <c r="Q15" s="32" t="s">
        <v>18</v>
      </c>
      <c r="R15" s="32">
        <f>IF(Q15="Free Recall",1,IF(Q15="Cued Recall",2,IF(Q15="Recognition",3,IF(Q15="Multiple Choice",4,IF(Q15="Savings",5,IF(Q15="Stem Completion",6,IF(Q15="Fragment Completion",7,IF(Q15="anagram solution",8,IF(Q15="Matching",9,IF(Q15="Problem Solving",10,"99"))))))))))</f>
        <v>3</v>
      </c>
      <c r="S15" s="31" t="s">
        <v>196</v>
      </c>
      <c r="T15" s="31" t="s">
        <v>132</v>
      </c>
      <c r="U15" s="32">
        <f>IF(T15="within",1,0)</f>
        <v>1</v>
      </c>
      <c r="V15" s="31">
        <v>24</v>
      </c>
      <c r="W15" s="32">
        <f>F15*V15</f>
        <v>768</v>
      </c>
      <c r="X15" s="32">
        <v>3</v>
      </c>
      <c r="Y15" s="41">
        <f>AV14</f>
        <v>1.5</v>
      </c>
      <c r="Z15" s="32" t="s">
        <v>23</v>
      </c>
      <c r="AA15" s="32">
        <v>6</v>
      </c>
      <c r="AB15" s="32" t="str">
        <f>IF(AA15&lt;60,"1",IF(AA15&lt;=43200,"2",IF(AA15&lt;=777600,"3","4")))</f>
        <v>1</v>
      </c>
      <c r="AC15" s="28">
        <f>AVERAGE(AV14:DA14)</f>
        <v>3.5</v>
      </c>
      <c r="AD15" s="32" t="str">
        <f>IF(AC15&lt;60,"1",IF(AC15&lt;=43200,"2",IF(AC15&lt;=777600,"3","4")))</f>
        <v>1</v>
      </c>
      <c r="AE15" s="41">
        <f>AA15-Y15</f>
        <v>4.5</v>
      </c>
      <c r="AF15" s="45">
        <f>AV15</f>
        <v>1.7877997830827177</v>
      </c>
      <c r="AG15" s="30">
        <f>((AW15-AV15)+(AX15-AW15))/2</f>
        <v>-9.0316243254996431E-3</v>
      </c>
      <c r="AH15" s="4"/>
      <c r="AI15" s="28">
        <f>RSQ(AV15:AX15,AV14:AX14)</f>
        <v>6.0428139367587279E-2</v>
      </c>
      <c r="AJ15" s="51">
        <f>SLOPE(AV15:AX15,AV14:AX14)</f>
        <v>-1.6646383652503916E-2</v>
      </c>
      <c r="AK15" s="28">
        <f>INTERCEPT(AV15:AX15,AV14:AX14)</f>
        <v>1.9264603141320102</v>
      </c>
      <c r="AL15" s="28">
        <f>INDEX(LINEST(LN(AV15:AX15),LN(AV14:AX14),TRUE,TRUE),3,1)</f>
        <v>3.9030136411333247E-3</v>
      </c>
      <c r="AM15" s="28">
        <f>INDEX(LINEST(LN(AV15:AX15),LN(AV14:AX14)),1)</f>
        <v>-7.3252894346361244E-3</v>
      </c>
      <c r="AN15" s="28">
        <f>EXP(INDEX(LINEST(LN(AV15:AX15),LN(AV14:AX14)),1,2))</f>
        <v>1.8790899550499556</v>
      </c>
      <c r="AO15" s="47">
        <f>INDEX(LINEST((AV15:AX15),LN(AV14:AX14),TRUE,TRUE),3,1)</f>
        <v>3.3882219265910871E-3</v>
      </c>
      <c r="AP15" s="47">
        <f>INDEX(LINEST((AV15:AX15),LN(AV14:AX14)),1)</f>
        <v>-1.3029879625570446E-2</v>
      </c>
      <c r="AQ15" s="48">
        <f>INDEX(LINEST(LN(AV15:AX15),SQRT(AV14:AX14),TRUE,TRUE),3,1)</f>
        <v>2.5777094921076306E-2</v>
      </c>
      <c r="AR15" s="56">
        <f>INDEX(LINEST(LN(AV15:AX15),SQRT((AV14:AX14))),1)</f>
        <v>-2.1204655138958375E-2</v>
      </c>
      <c r="AS15" s="49">
        <f>INDEX(LINEST(1/(AV15:AX15),1/(SQRT(AV14:AX14)),TRUE,TRUE),3,1)</f>
        <v>1.0074497810396205E-3</v>
      </c>
      <c r="AT15" s="49">
        <f>INDEX(LINEST(1/(AV15:AX15),1/SQRT(AV14:AX14)),1)</f>
        <v>6.5985899490699964E-3</v>
      </c>
      <c r="AU15" s="3"/>
      <c r="AV15" s="25">
        <v>1.7877997830827177</v>
      </c>
      <c r="AW15" s="25">
        <v>2.0470575965303035</v>
      </c>
      <c r="AX15" s="25">
        <v>1.7697365344317184</v>
      </c>
      <c r="AY15" s="25"/>
      <c r="AZ15" s="25"/>
      <c r="BA15" s="25"/>
      <c r="BB15" s="25"/>
      <c r="BC15" s="25"/>
      <c r="BD15" s="25"/>
      <c r="BE15" s="25"/>
      <c r="BF15" s="25"/>
      <c r="BG15" s="25"/>
      <c r="BH15" s="25"/>
      <c r="BI15" s="25"/>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3"/>
      <c r="CS15" s="13"/>
      <c r="CT15" s="13"/>
      <c r="CU15" s="13"/>
    </row>
    <row r="16" spans="1:99" s="9" customFormat="1" ht="12" customHeight="1" x14ac:dyDescent="0.2">
      <c r="A16" s="37">
        <v>43509</v>
      </c>
      <c r="B16" s="1"/>
      <c r="C16" s="1"/>
      <c r="D16" s="32"/>
      <c r="E16" s="41"/>
      <c r="F16" s="32"/>
      <c r="G16" s="32"/>
      <c r="H16" s="32"/>
      <c r="I16" s="32"/>
      <c r="J16" s="32"/>
      <c r="K16" s="36"/>
      <c r="L16" s="36"/>
      <c r="M16" s="32"/>
      <c r="N16" s="32"/>
      <c r="O16" s="32"/>
      <c r="P16" s="32"/>
      <c r="Q16" s="32"/>
      <c r="R16" s="32"/>
      <c r="S16" s="32"/>
      <c r="T16" s="32"/>
      <c r="U16" s="32"/>
      <c r="V16" s="32"/>
      <c r="W16" s="32"/>
      <c r="X16" s="32"/>
      <c r="Y16" s="41"/>
      <c r="Z16" s="32"/>
      <c r="AA16" s="32"/>
      <c r="AB16" s="32"/>
      <c r="AC16" s="32"/>
      <c r="AD16" s="32"/>
      <c r="AE16" s="32"/>
      <c r="AF16" s="45"/>
      <c r="AG16" s="28"/>
      <c r="AH16" s="4"/>
      <c r="AI16" s="28"/>
      <c r="AJ16" s="51"/>
      <c r="AK16" s="28"/>
      <c r="AL16" s="28"/>
      <c r="AM16" s="28"/>
      <c r="AN16" s="28"/>
      <c r="AO16" s="47"/>
      <c r="AP16" s="47"/>
      <c r="AQ16" s="47"/>
      <c r="AR16" s="55"/>
      <c r="AS16" s="47"/>
      <c r="AT16" s="47"/>
      <c r="AU16" s="3"/>
      <c r="AV16" s="26">
        <v>1.5</v>
      </c>
      <c r="AW16" s="18">
        <v>3</v>
      </c>
      <c r="AX16" s="18">
        <v>6</v>
      </c>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1"/>
      <c r="CS16" s="1"/>
      <c r="CT16" s="1"/>
      <c r="CU16" s="1"/>
    </row>
    <row r="17" spans="1:99" s="9" customFormat="1" ht="12" customHeight="1" x14ac:dyDescent="0.2">
      <c r="A17" s="37">
        <v>43509</v>
      </c>
      <c r="B17" s="1" t="s">
        <v>70</v>
      </c>
      <c r="C17" s="1" t="s">
        <v>17</v>
      </c>
      <c r="D17" s="32">
        <v>2010</v>
      </c>
      <c r="E17" s="41">
        <v>2</v>
      </c>
      <c r="F17" s="32">
        <v>32</v>
      </c>
      <c r="G17" s="32">
        <v>32</v>
      </c>
      <c r="H17" s="32" t="s">
        <v>22</v>
      </c>
      <c r="I17" s="32" t="s">
        <v>149</v>
      </c>
      <c r="J17" s="32" t="s">
        <v>133</v>
      </c>
      <c r="K17" s="32">
        <f>IF(J17="syllables",1,IF(J17="trigrams",2,IF(J17="strings",3,IF(J17="visual array",4,IF(J17="characters",5,IF(J17="letters",6,IF(J17="free forms",7,IF(J17="odors",8,IF(J17="words",9,IF(J17="pictures",10,IF(J17="object pictures",11,IF(J17="faces",12,IF(J17="names",13,IF(J17="idioms",14,IF(J17="grades",15,IF(J17="syllable-digit pairs",16,IF(J17="trigram-word pairs",17,IF(J17="word-digit pairs",18,IF(J17="English-Swahili pairs",19,IF(J17="spatial position",20,IF(J17="word pairs",21,IF(J17="word triads",22,IF(J17="generated words",23,IF(J17="word definition pairs",24,IF(J17="math problems",25,IF(J17="famous faces",26,IF(J17="famous names",27,IF(J17="famous voices",28,IF(J17="television programs",29,IF(J17="race horses",30,IF(J17="new vocabulary",31,IF(J17="sentences",32,IF(J17="concepts",33,IF(J17="ad slides",34,IF(J17="scenes",35,IF(J17="famous scenes",36,IF(J17="poems",37,IF(J17="walk",38,IF(J17="faces and events",39,IF(J17="events and names",40,IF(J17="flashbulb",41,IF(J17="stories",42,IF(J17="course material",43,IF(J17="autobiographical",44,IF(J17="novels",45,IF(J17="public events",46,"99"))))))))))))))))))))))))))))))))))))))))))))))</f>
        <v>6</v>
      </c>
      <c r="L17" s="32">
        <f>IF(J17="syllables",1,IF(J17="trigrams",1,IF(J17="strings",1,IF(J17="visual array",1,IF(J17="characters",1,IF(J17="letters",1,IF(J17="free forms",1,IF(J17="odors",2,IF(J17="words",2,IF(J17="pictures",2,IF(J17="object pictures",2,IF(J17="faces",2,IF(J17="names",2,IF(J17="idioms","2",IF(J17="grades",2,IF(J17="syllable-digit pairs",3,IF(J17="trigram-word pairs",3,IF(J17="word-digit pairs",3,IF(J17="English-Swahili pairs",3,IF(J17="spatial position",3,IF(J17="word pairs",4,IF(J17="word triads",4,IF(J17="generated words",4,IF(J17="word definition pairs",4,IF(J17="math problems",4,IF(J17="famous faces",4,IF(J17="famous names",4,IF(J17="famous voices",4,IF(J17="television programs",4,IF(J17="race horses",4,IF(J17="new vocabulary",4,IF(J17="sentences",5,IF(J17="concepts",5,IF(J17="ad slides",5,IF(J17="scenes",5,IF(J17="famous scenes",5,IF(J17="poems",6,IF(J17="walk",6,IF(J17="faces and events",6,IF(J17="events and names",6,IF(J17="flashbulb",7,IF(J17="stories",7,IF(J17="course material",7,IF(J17="autobiographical",7,IF(J17="novels",7,IF(J17="public events",7,"99"))))))))))))))))))))))))))))))))))))))))))))))</f>
        <v>1</v>
      </c>
      <c r="M17" s="32">
        <v>0</v>
      </c>
      <c r="N17" s="32">
        <v>1</v>
      </c>
      <c r="O17" s="32">
        <v>1</v>
      </c>
      <c r="P17" s="32" t="s">
        <v>21</v>
      </c>
      <c r="Q17" s="32" t="s">
        <v>18</v>
      </c>
      <c r="R17" s="32">
        <f>IF(Q17="Free Recall",1,IF(Q17="Cued Recall",2,IF(Q17="Recognition",3,IF(Q17="Multiple Choice",4,IF(Q17="Savings",5,IF(Q17="Stem Completion",6,IF(Q17="Fragment Completion",7,IF(Q17="anagram solution",8,IF(Q17="Matching",9,IF(Q17="Problem Solving",10,"99"))))))))))</f>
        <v>3</v>
      </c>
      <c r="S17" s="31" t="s">
        <v>196</v>
      </c>
      <c r="T17" s="31" t="s">
        <v>132</v>
      </c>
      <c r="U17" s="32">
        <f>IF(T17="within",1,0)</f>
        <v>1</v>
      </c>
      <c r="V17" s="31">
        <v>24</v>
      </c>
      <c r="W17" s="32">
        <f>F17*V17</f>
        <v>768</v>
      </c>
      <c r="X17" s="32">
        <v>3</v>
      </c>
      <c r="Y17" s="41">
        <f>AV16</f>
        <v>1.5</v>
      </c>
      <c r="Z17" s="32" t="s">
        <v>23</v>
      </c>
      <c r="AA17" s="32">
        <v>6</v>
      </c>
      <c r="AB17" s="32" t="str">
        <f>IF(AA17&lt;60,"1",IF(AA17&lt;=43200,"2",IF(AA17&lt;=777600,"3","4")))</f>
        <v>1</v>
      </c>
      <c r="AC17" s="28">
        <f>AVERAGE(AV16:DA16)</f>
        <v>3.5</v>
      </c>
      <c r="AD17" s="32" t="str">
        <f>IF(AC17&lt;60,"1",IF(AC17&lt;=43200,"2",IF(AC17&lt;=777600,"3","4")))</f>
        <v>1</v>
      </c>
      <c r="AE17" s="41">
        <f>AA17-Y17</f>
        <v>4.5</v>
      </c>
      <c r="AF17" s="45">
        <f>AV17</f>
        <v>1.3552782535160466</v>
      </c>
      <c r="AG17" s="28">
        <f>((AW17-AV17)+(AX17-AW17))/2</f>
        <v>-0.33001723888019446</v>
      </c>
      <c r="AH17" s="4"/>
      <c r="AI17" s="28">
        <f>RSQ(AV17:AX17,AV16:AX16)</f>
        <v>0.99755759856532233</v>
      </c>
      <c r="AJ17" s="51">
        <f>SLOPE(AV17:AX17,AV16:AX16)</f>
        <v>-0.14808448455025391</v>
      </c>
      <c r="AK17" s="28">
        <f>INTERCEPT(AV17:AX17,AV16:AX16)</f>
        <v>1.5900963857729347</v>
      </c>
      <c r="AL17" s="28">
        <f>INDEX(LINEST(LN(AV17:AX17),LN(AV16:AX16),TRUE,TRUE),3,1)</f>
        <v>0.909489520923074</v>
      </c>
      <c r="AM17" s="28">
        <f>INDEX(LINEST(LN(AV17:AX17),LN(AV16:AX16)),1)</f>
        <v>-0.48149912713617249</v>
      </c>
      <c r="AN17" s="28">
        <f>EXP(INDEX(LINEST(LN(AV17:AX17),LN(AV16:AX16)),1,2))</f>
        <v>1.7507161124939945</v>
      </c>
      <c r="AO17" s="47">
        <f>INDEX(LINEST((AV17:AX17),LN(AV16:AX16),TRUE,TRUE),3,1)</f>
        <v>0.94369752160088116</v>
      </c>
      <c r="AP17" s="47">
        <f>INDEX(LINEST((AV17:AX17),LN(AV16:AX16)),1)</f>
        <v>-0.47611423394032482</v>
      </c>
      <c r="AQ17" s="48">
        <f>INDEX(LINEST(LN(AV17:AX17),SQRT(AV16:AX16),TRUE,TRUE),3,1)</f>
        <v>0.95782070917408235</v>
      </c>
      <c r="AR17" s="56">
        <f>INDEX(LINEST(LN(AV17:AX17),SQRT((AV16:AX16))),1)</f>
        <v>-0.5565808242608189</v>
      </c>
      <c r="AS17" s="49">
        <f>INDEX(LINEST(1/(AV17:AX17),1/(SQRT(AV16:AX16)),TRUE,TRUE),3,1)</f>
        <v>0.80242208344881527</v>
      </c>
      <c r="AT17" s="49">
        <f>INDEX(LINEST(1/(AV17:AX17),1/SQRT(AV16:AX16)),1)</f>
        <v>-1.6354511344626725</v>
      </c>
      <c r="AU17" s="3"/>
      <c r="AV17" s="25">
        <v>1.3552782535160466</v>
      </c>
      <c r="AW17" s="25">
        <v>1.1648800402694344</v>
      </c>
      <c r="AX17" s="25">
        <v>0.69524377575565766</v>
      </c>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1"/>
      <c r="CS17" s="1"/>
      <c r="CT17" s="1"/>
      <c r="CU17" s="1"/>
    </row>
    <row r="18" spans="1:99" ht="12" customHeight="1" x14ac:dyDescent="0.2">
      <c r="R18" s="32"/>
      <c r="U18" s="32"/>
      <c r="W18" s="32"/>
      <c r="Y18" s="41"/>
      <c r="AB18" s="32"/>
      <c r="AD18" s="32"/>
      <c r="AE18" s="32"/>
      <c r="AF18" s="45"/>
    </row>
    <row r="19" spans="1:99" ht="12" customHeight="1" x14ac:dyDescent="0.2">
      <c r="K19" s="32"/>
      <c r="R19" s="32"/>
      <c r="U19" s="32"/>
      <c r="Y19" s="36"/>
      <c r="AB19" s="32"/>
      <c r="AD19" s="32"/>
      <c r="AE19" s="42"/>
      <c r="AF19" s="29"/>
      <c r="AL19" s="68" t="s">
        <v>135</v>
      </c>
      <c r="AM19" s="29">
        <f>AVERAGE(AM3:AM17)</f>
        <v>-0.22070323910457618</v>
      </c>
    </row>
    <row r="20" spans="1:99" ht="12" customHeight="1" x14ac:dyDescent="0.2">
      <c r="R20" s="32"/>
      <c r="Y20" s="36"/>
      <c r="AB20" s="32"/>
      <c r="AD20" s="32"/>
      <c r="AF20" s="36"/>
      <c r="AL20" s="23" t="s">
        <v>188</v>
      </c>
      <c r="AM20" s="29">
        <f>MEDIAN(AM3:AM17)</f>
        <v>-0.20445447358778113</v>
      </c>
    </row>
    <row r="21" spans="1:99" ht="12" customHeight="1" x14ac:dyDescent="0.2">
      <c r="K21" s="32"/>
      <c r="R21" s="32"/>
      <c r="Y21" s="36"/>
      <c r="AB21" s="32"/>
      <c r="AD21" s="32"/>
      <c r="AF21" s="36"/>
      <c r="AL21" s="68" t="s">
        <v>167</v>
      </c>
      <c r="AM21" s="29">
        <f>MIN(AM3:AM17)</f>
        <v>-0.48149912713617249</v>
      </c>
    </row>
    <row r="22" spans="1:99" ht="12" customHeight="1" x14ac:dyDescent="0.2">
      <c r="R22" s="32"/>
      <c r="Y22" s="36"/>
      <c r="AB22" s="32"/>
      <c r="AD22" s="32"/>
      <c r="AF22" s="29"/>
      <c r="AL22" s="68" t="s">
        <v>166</v>
      </c>
      <c r="AM22" s="29">
        <f>MAX(AM3:AM17)</f>
        <v>-7.3252894346361244E-3</v>
      </c>
    </row>
    <row r="23" spans="1:99" ht="12" customHeight="1" x14ac:dyDescent="0.2">
      <c r="K23" s="32"/>
      <c r="R23" s="32"/>
      <c r="Y23" s="36"/>
      <c r="AB23" s="32"/>
      <c r="AD23" s="32"/>
      <c r="AF23" s="36"/>
      <c r="AL23" s="68" t="s">
        <v>168</v>
      </c>
      <c r="AM23" s="36">
        <f xml:space="preserve"> STDEV(AM3:AM17)</f>
        <v>0.17231994860578892</v>
      </c>
    </row>
    <row r="24" spans="1:99" ht="12" customHeight="1" x14ac:dyDescent="0.2">
      <c r="R24" s="32"/>
      <c r="W24" s="32"/>
      <c r="Y24" s="41"/>
      <c r="AB24" s="32"/>
      <c r="AD24" s="32"/>
      <c r="AE24" s="32"/>
      <c r="AF24" s="45"/>
      <c r="AL24" s="23" t="s">
        <v>187</v>
      </c>
      <c r="AM24" s="36">
        <f xml:space="preserve"> STDEV(AM3:AM17)/SQRT(COUNT(AM3:AM17))</f>
        <v>6.0924302096435345E-2</v>
      </c>
    </row>
    <row r="25" spans="1:99" ht="12" customHeight="1" x14ac:dyDescent="0.2">
      <c r="K25" s="32"/>
      <c r="R25" s="32"/>
      <c r="W25" s="32"/>
      <c r="Y25" s="41"/>
      <c r="AB25" s="32"/>
      <c r="AD25" s="32"/>
      <c r="AE25" s="41"/>
      <c r="AF25" s="45"/>
      <c r="AL25" s="69"/>
      <c r="AM25" s="70"/>
    </row>
    <row r="26" spans="1:99" ht="12" customHeight="1" x14ac:dyDescent="0.2">
      <c r="R26" s="32"/>
      <c r="W26" s="32"/>
      <c r="Y26" s="41"/>
      <c r="AB26" s="32"/>
      <c r="AD26" s="32"/>
      <c r="AE26" s="32"/>
      <c r="AF26" s="45"/>
      <c r="AL26" s="69" t="s">
        <v>45</v>
      </c>
      <c r="AM26" s="70">
        <f>AM19-(3*AM23)</f>
        <v>-0.73766308492194299</v>
      </c>
    </row>
    <row r="27" spans="1:99" ht="12" customHeight="1" x14ac:dyDescent="0.2">
      <c r="K27" s="32"/>
      <c r="L27" s="32"/>
      <c r="R27" s="32"/>
      <c r="W27" s="32"/>
      <c r="Y27" s="41"/>
      <c r="AB27" s="32"/>
      <c r="AE27" s="41"/>
      <c r="AF27" s="45"/>
      <c r="AL27" s="69" t="s">
        <v>44</v>
      </c>
      <c r="AM27" s="70">
        <f>AM19+(3*AM23)</f>
        <v>0.29625660671279058</v>
      </c>
    </row>
    <row r="28" spans="1:99" ht="12" customHeight="1" x14ac:dyDescent="0.2">
      <c r="R28" s="32"/>
      <c r="W28" s="32"/>
      <c r="Y28" s="41"/>
      <c r="AB28" s="32"/>
      <c r="AE28" s="32"/>
      <c r="AF28" s="45"/>
    </row>
    <row r="29" spans="1:99" ht="12" customHeight="1" x14ac:dyDescent="0.2">
      <c r="K29" s="32"/>
      <c r="L29" s="32"/>
      <c r="R29" s="32"/>
      <c r="W29" s="32"/>
      <c r="Y29" s="41"/>
      <c r="AB29" s="32"/>
      <c r="AE29" s="41"/>
      <c r="AF29" s="45"/>
    </row>
    <row r="30" spans="1:99" ht="12" customHeight="1" x14ac:dyDescent="0.2">
      <c r="R30" s="32"/>
      <c r="W30" s="32"/>
      <c r="Y30" s="41"/>
      <c r="AB30" s="32"/>
      <c r="AE30" s="32"/>
      <c r="AF30" s="45"/>
      <c r="AM30" s="38"/>
    </row>
    <row r="31" spans="1:99" ht="12" customHeight="1" x14ac:dyDescent="0.2">
      <c r="K31" s="32"/>
      <c r="L31" s="32"/>
      <c r="R31" s="32"/>
      <c r="W31" s="32"/>
      <c r="Y31" s="41"/>
      <c r="AB31" s="32"/>
      <c r="AE31" s="41"/>
      <c r="AF31" s="45"/>
      <c r="AM31" s="38"/>
    </row>
    <row r="32" spans="1:99" ht="12" customHeight="1" x14ac:dyDescent="0.2">
      <c r="R32" s="32"/>
      <c r="W32" s="32"/>
      <c r="Y32" s="41"/>
      <c r="AB32" s="32"/>
      <c r="AE32" s="32"/>
      <c r="AF32" s="45"/>
    </row>
    <row r="33" spans="11:32" ht="12" customHeight="1" x14ac:dyDescent="0.2">
      <c r="K33" s="32"/>
      <c r="L33" s="32"/>
      <c r="R33" s="32"/>
      <c r="W33" s="32"/>
      <c r="Y33" s="41"/>
      <c r="AB33" s="32"/>
      <c r="AE33" s="41"/>
      <c r="AF33" s="45"/>
    </row>
    <row r="34" spans="11:32" ht="12" customHeight="1" x14ac:dyDescent="0.2">
      <c r="R34" s="32"/>
      <c r="W34" s="32"/>
      <c r="Y34" s="41"/>
      <c r="AB34" s="32"/>
      <c r="AE34" s="32"/>
      <c r="AF34" s="45"/>
    </row>
    <row r="35" spans="11:32" ht="12" customHeight="1" x14ac:dyDescent="0.2">
      <c r="K35" s="32"/>
      <c r="L35" s="32"/>
      <c r="R35" s="32"/>
      <c r="W35" s="32"/>
      <c r="Y35" s="41"/>
      <c r="AB35" s="32"/>
      <c r="AE35" s="41"/>
      <c r="AF35" s="45"/>
    </row>
    <row r="36" spans="11:32" ht="12" customHeight="1" x14ac:dyDescent="0.2">
      <c r="R36" s="32"/>
      <c r="W36" s="32"/>
      <c r="Y36" s="41"/>
      <c r="AB36" s="32"/>
      <c r="AE36" s="32"/>
      <c r="AF36" s="45"/>
    </row>
    <row r="37" spans="11:32" ht="12" customHeight="1" x14ac:dyDescent="0.2">
      <c r="K37" s="32"/>
      <c r="L37" s="32"/>
      <c r="R37" s="32"/>
      <c r="W37" s="32"/>
      <c r="Y37" s="41"/>
      <c r="AB37" s="32"/>
      <c r="AE37" s="41"/>
      <c r="AF37" s="45"/>
    </row>
    <row r="38" spans="11:32" ht="12" customHeight="1" x14ac:dyDescent="0.2">
      <c r="R38" s="32"/>
      <c r="W38" s="32"/>
      <c r="Y38" s="41"/>
      <c r="AB38" s="32"/>
      <c r="AE38" s="32"/>
      <c r="AF38" s="45"/>
    </row>
    <row r="39" spans="11:32" ht="12" customHeight="1" x14ac:dyDescent="0.2">
      <c r="K39" s="32"/>
      <c r="L39" s="32"/>
      <c r="R39" s="32"/>
      <c r="W39" s="32"/>
      <c r="Y39" s="41"/>
      <c r="AB39" s="32"/>
      <c r="AE39" s="41"/>
      <c r="AF39" s="45"/>
    </row>
    <row r="40" spans="11:32" ht="12" customHeight="1" x14ac:dyDescent="0.2">
      <c r="R40" s="32"/>
      <c r="W40" s="32"/>
      <c r="Y40" s="41"/>
      <c r="AB40" s="32"/>
      <c r="AE40" s="32"/>
      <c r="AF40" s="45"/>
    </row>
    <row r="41" spans="11:32" ht="12" customHeight="1" x14ac:dyDescent="0.2">
      <c r="K41" s="32"/>
      <c r="L41" s="32"/>
      <c r="R41" s="32"/>
      <c r="W41" s="32"/>
      <c r="Y41" s="41"/>
      <c r="AB41" s="32"/>
      <c r="AE41" s="41"/>
      <c r="AF41" s="45"/>
    </row>
    <row r="42" spans="11:32" ht="12" customHeight="1" x14ac:dyDescent="0.2">
      <c r="R42" s="32"/>
      <c r="W42" s="32"/>
      <c r="Y42" s="41"/>
      <c r="AB42" s="32"/>
      <c r="AE42" s="32"/>
      <c r="AF42" s="45"/>
    </row>
    <row r="43" spans="11:32" ht="12" customHeight="1" x14ac:dyDescent="0.2">
      <c r="K43" s="32"/>
      <c r="L43" s="32"/>
      <c r="R43" s="32"/>
      <c r="W43" s="32"/>
      <c r="Y43" s="41"/>
      <c r="AB43" s="32"/>
      <c r="AE43" s="41"/>
      <c r="AF43" s="45"/>
    </row>
    <row r="44" spans="11:32" ht="12" customHeight="1" x14ac:dyDescent="0.2">
      <c r="R44" s="32"/>
      <c r="W44" s="32"/>
      <c r="Y44" s="41"/>
      <c r="AB44" s="32"/>
      <c r="AE44" s="32"/>
      <c r="AF44" s="45"/>
    </row>
    <row r="45" spans="11:32" ht="12" customHeight="1" x14ac:dyDescent="0.2">
      <c r="K45" s="32"/>
      <c r="L45" s="32"/>
      <c r="R45" s="32"/>
      <c r="W45" s="32"/>
      <c r="Y45" s="41"/>
      <c r="AB45" s="32"/>
      <c r="AE45" s="41"/>
      <c r="AF45" s="45"/>
    </row>
    <row r="46" spans="11:32" ht="12" customHeight="1" x14ac:dyDescent="0.2">
      <c r="R46" s="32"/>
      <c r="W46" s="32"/>
      <c r="Y46" s="41"/>
      <c r="AB46" s="32"/>
      <c r="AE46" s="32"/>
      <c r="AF46" s="45"/>
    </row>
    <row r="47" spans="11:32" ht="12" customHeight="1" x14ac:dyDescent="0.2">
      <c r="K47" s="32"/>
      <c r="L47" s="32"/>
      <c r="R47" s="32"/>
      <c r="W47" s="32"/>
      <c r="Y47" s="41"/>
      <c r="AB47" s="32"/>
      <c r="AE47" s="41"/>
      <c r="AF47" s="45"/>
    </row>
    <row r="48" spans="11:32" ht="12" customHeight="1" x14ac:dyDescent="0.2">
      <c r="R48" s="32"/>
      <c r="W48" s="32"/>
      <c r="Y48" s="41"/>
      <c r="AB48" s="32"/>
      <c r="AE48" s="32"/>
      <c r="AF48" s="45"/>
    </row>
    <row r="49" spans="11:32" ht="12" customHeight="1" x14ac:dyDescent="0.2">
      <c r="K49" s="32"/>
      <c r="L49" s="32"/>
      <c r="R49" s="32"/>
      <c r="W49" s="32"/>
      <c r="Y49" s="41"/>
      <c r="AB49" s="32"/>
      <c r="AE49" s="41"/>
      <c r="AF49" s="45"/>
    </row>
    <row r="50" spans="11:32" ht="12" customHeight="1" x14ac:dyDescent="0.2">
      <c r="W50" s="32"/>
      <c r="Y50" s="41"/>
      <c r="AB50" s="32"/>
      <c r="AE50" s="32"/>
      <c r="AF50" s="45"/>
    </row>
    <row r="51" spans="11:32" ht="12" customHeight="1" x14ac:dyDescent="0.2">
      <c r="K51" s="32"/>
      <c r="L51" s="32"/>
      <c r="W51" s="32"/>
      <c r="Y51" s="41"/>
      <c r="AE51" s="41"/>
      <c r="AF51" s="45"/>
    </row>
    <row r="52" spans="11:32" ht="12" customHeight="1" x14ac:dyDescent="0.2">
      <c r="W52" s="32"/>
      <c r="Y52" s="41"/>
      <c r="AE52" s="32"/>
      <c r="AF52" s="45"/>
    </row>
    <row r="53" spans="11:32" ht="12" customHeight="1" x14ac:dyDescent="0.2">
      <c r="K53" s="32"/>
      <c r="L53" s="32"/>
      <c r="W53" s="32"/>
      <c r="Y53" s="41"/>
      <c r="AE53" s="41"/>
      <c r="AF53" s="45"/>
    </row>
    <row r="54" spans="11:32" ht="12" customHeight="1" x14ac:dyDescent="0.2">
      <c r="W54" s="32"/>
      <c r="Y54" s="41"/>
      <c r="AE54" s="32"/>
      <c r="AF54" s="45"/>
    </row>
    <row r="55" spans="11:32" ht="12" customHeight="1" x14ac:dyDescent="0.2">
      <c r="K55" s="32"/>
      <c r="L55" s="32"/>
      <c r="W55" s="32"/>
      <c r="Y55" s="41"/>
      <c r="AE55" s="41"/>
      <c r="AF55" s="45"/>
    </row>
    <row r="56" spans="11:32" ht="12" customHeight="1" x14ac:dyDescent="0.2">
      <c r="W56" s="32"/>
      <c r="Y56" s="41"/>
      <c r="AE56" s="32"/>
      <c r="AF56" s="45"/>
    </row>
    <row r="57" spans="11:32" ht="12" customHeight="1" x14ac:dyDescent="0.2">
      <c r="K57" s="32"/>
      <c r="L57" s="32"/>
      <c r="W57" s="32"/>
      <c r="Y57" s="41"/>
      <c r="AE57" s="41"/>
      <c r="AF57" s="45"/>
    </row>
    <row r="59" spans="11:32" ht="12" customHeight="1" x14ac:dyDescent="0.2">
      <c r="K59" s="32"/>
      <c r="L59" s="32"/>
    </row>
  </sheetData>
  <conditionalFormatting sqref="AD18 AD20 AD22 AD24">
    <cfRule type="expression" dxfId="418" priority="166">
      <formula>MOD(ROW(),2)=1</formula>
    </cfRule>
  </conditionalFormatting>
  <conditionalFormatting sqref="Y24">
    <cfRule type="expression" dxfId="417" priority="123">
      <formula>MOD(ROW(),2)=1</formula>
    </cfRule>
  </conditionalFormatting>
  <conditionalFormatting sqref="Y28">
    <cfRule type="expression" dxfId="416" priority="122">
      <formula>MOD(ROW(),2)=1</formula>
    </cfRule>
  </conditionalFormatting>
  <conditionalFormatting sqref="Y32">
    <cfRule type="expression" dxfId="415" priority="121">
      <formula>MOD(ROW(),2)=1</formula>
    </cfRule>
  </conditionalFormatting>
  <conditionalFormatting sqref="Y36">
    <cfRule type="expression" dxfId="414" priority="120">
      <formula>MOD(ROW(),2)=1</formula>
    </cfRule>
  </conditionalFormatting>
  <conditionalFormatting sqref="Y40">
    <cfRule type="expression" dxfId="413" priority="119">
      <formula>MOD(ROW(),2)=1</formula>
    </cfRule>
  </conditionalFormatting>
  <conditionalFormatting sqref="Y44">
    <cfRule type="expression" dxfId="412" priority="118">
      <formula>MOD(ROW(),2)=1</formula>
    </cfRule>
  </conditionalFormatting>
  <conditionalFormatting sqref="Y48">
    <cfRule type="expression" dxfId="411" priority="117">
      <formula>MOD(ROW(),2)=1</formula>
    </cfRule>
  </conditionalFormatting>
  <conditionalFormatting sqref="Y52">
    <cfRule type="expression" dxfId="410" priority="116">
      <formula>MOD(ROW(),2)=1</formula>
    </cfRule>
  </conditionalFormatting>
  <conditionalFormatting sqref="Y56">
    <cfRule type="expression" dxfId="409" priority="115">
      <formula>MOD(ROW(),2)=1</formula>
    </cfRule>
  </conditionalFormatting>
  <conditionalFormatting sqref="W24">
    <cfRule type="expression" dxfId="408" priority="72">
      <formula>MOD(ROW(),2)=1</formula>
    </cfRule>
  </conditionalFormatting>
  <conditionalFormatting sqref="W28">
    <cfRule type="expression" dxfId="407" priority="71">
      <formula>MOD(ROW(),2)=1</formula>
    </cfRule>
  </conditionalFormatting>
  <conditionalFormatting sqref="W32">
    <cfRule type="expression" dxfId="406" priority="70">
      <formula>MOD(ROW(),2)=1</formula>
    </cfRule>
  </conditionalFormatting>
  <conditionalFormatting sqref="W36">
    <cfRule type="expression" dxfId="405" priority="69">
      <formula>MOD(ROW(),2)=1</formula>
    </cfRule>
  </conditionalFormatting>
  <conditionalFormatting sqref="W40">
    <cfRule type="expression" dxfId="404" priority="68">
      <formula>MOD(ROW(),2)=1</formula>
    </cfRule>
  </conditionalFormatting>
  <conditionalFormatting sqref="W44">
    <cfRule type="expression" dxfId="403" priority="67">
      <formula>MOD(ROW(),2)=1</formula>
    </cfRule>
  </conditionalFormatting>
  <conditionalFormatting sqref="W48">
    <cfRule type="expression" dxfId="402" priority="66">
      <formula>MOD(ROW(),2)=1</formula>
    </cfRule>
  </conditionalFormatting>
  <conditionalFormatting sqref="W52">
    <cfRule type="expression" dxfId="401" priority="65">
      <formula>MOD(ROW(),2)=1</formula>
    </cfRule>
  </conditionalFormatting>
  <conditionalFormatting sqref="W56">
    <cfRule type="expression" dxfId="400" priority="64">
      <formula>MOD(ROW(),2)=1</formula>
    </cfRule>
  </conditionalFormatting>
  <conditionalFormatting sqref="U18">
    <cfRule type="expression" dxfId="399" priority="18">
      <formula>MOD(ROW(),2)=1</formula>
    </cfRule>
  </conditionalFormatting>
  <conditionalFormatting sqref="AC4 AC6 AC8 AC10 AC12 AC14 AC16 AG16 AG14 AG12 AG10 AG8 AG6 AG4">
    <cfRule type="expression" dxfId="398" priority="17">
      <formula>MOD(ROW(),2)=1</formula>
    </cfRule>
  </conditionalFormatting>
  <conditionalFormatting sqref="AD12 AD14 AD16">
    <cfRule type="expression" dxfId="397" priority="16">
      <formula>MOD(ROW(),2)=1</formula>
    </cfRule>
  </conditionalFormatting>
  <conditionalFormatting sqref="Y4">
    <cfRule type="expression" dxfId="396" priority="15">
      <formula>MOD(ROW(),2)=1</formula>
    </cfRule>
  </conditionalFormatting>
  <conditionalFormatting sqref="Y8">
    <cfRule type="expression" dxfId="395" priority="14">
      <formula>MOD(ROW(),2)=1</formula>
    </cfRule>
  </conditionalFormatting>
  <conditionalFormatting sqref="Y12">
    <cfRule type="expression" dxfId="394" priority="13">
      <formula>MOD(ROW(),2)=1</formula>
    </cfRule>
  </conditionalFormatting>
  <conditionalFormatting sqref="Y16">
    <cfRule type="expression" dxfId="393" priority="12">
      <formula>MOD(ROW(),2)=1</formula>
    </cfRule>
  </conditionalFormatting>
  <conditionalFormatting sqref="W4">
    <cfRule type="expression" dxfId="392" priority="11">
      <formula>MOD(ROW(),2)=1</formula>
    </cfRule>
  </conditionalFormatting>
  <conditionalFormatting sqref="W8">
    <cfRule type="expression" dxfId="391" priority="10">
      <formula>MOD(ROW(),2)=1</formula>
    </cfRule>
  </conditionalFormatting>
  <conditionalFormatting sqref="W12">
    <cfRule type="expression" dxfId="390" priority="9">
      <formula>MOD(ROW(),2)=1</formula>
    </cfRule>
  </conditionalFormatting>
  <conditionalFormatting sqref="W16">
    <cfRule type="expression" dxfId="389" priority="8">
      <formula>MOD(ROW(),2)=1</formula>
    </cfRule>
  </conditionalFormatting>
  <conditionalFormatting sqref="U4">
    <cfRule type="expression" dxfId="388" priority="7">
      <formula>MOD(ROW(),2)=1</formula>
    </cfRule>
  </conditionalFormatting>
  <conditionalFormatting sqref="U10 U12 U8">
    <cfRule type="expression" dxfId="387" priority="6">
      <formula>MOD(ROW(),2)=1</formula>
    </cfRule>
  </conditionalFormatting>
  <conditionalFormatting sqref="U16">
    <cfRule type="expression" dxfId="386" priority="5">
      <formula>MOD(ROW(),2)=1</formula>
    </cfRule>
  </conditionalFormatting>
  <conditionalFormatting sqref="AC2 AG2">
    <cfRule type="expression" dxfId="385" priority="4">
      <formula>MOD(ROW(),2)=1</formula>
    </cfRule>
  </conditionalFormatting>
  <conditionalFormatting sqref="Y2">
    <cfRule type="expression" dxfId="384" priority="3">
      <formula>MOD(ROW(),2)=1</formula>
    </cfRule>
  </conditionalFormatting>
  <conditionalFormatting sqref="W2">
    <cfRule type="expression" dxfId="383" priority="2">
      <formula>MOD(ROW(),2)=1</formula>
    </cfRule>
  </conditionalFormatting>
  <conditionalFormatting sqref="U2">
    <cfRule type="expression" dxfId="382" priority="1">
      <formula>MOD(ROW(),2)=1</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207"/>
  <sheetViews>
    <sheetView workbookViewId="0"/>
  </sheetViews>
  <sheetFormatPr defaultRowHeight="15" x14ac:dyDescent="0.25"/>
  <sheetData>
    <row r="3" spans="1:4" x14ac:dyDescent="0.25">
      <c r="A3" t="str">
        <f>'WM Single'!B3</f>
        <v>Lane, Scott, D., Cherek, D. R., Lieving, L. M., &amp; Tcheremissine, O. V. (2005). Marijuana effects on human forgetting functions. Journal of the Experimental Analysis of Behavior, 83,67-83.</v>
      </c>
      <c r="B3">
        <f>'WM Single'!AA3</f>
        <v>24</v>
      </c>
      <c r="C3">
        <f>B3/60</f>
        <v>0.4</v>
      </c>
      <c r="D3" s="35">
        <f>'WM Single'!AM3</f>
        <v>-4.1840702811851621E-2</v>
      </c>
    </row>
    <row r="5" spans="1:4" x14ac:dyDescent="0.25">
      <c r="A5" t="str">
        <f>'WM Single'!B5</f>
        <v>Ricker, T. J., &amp; Cowan, N. (2010). Loss of visual working memory within seconds: The combined use of refreshable and non-refreshable features. Journal of Experimental Psychology: Learning, Memory, and Cognition, 36(6), 1355-1368.</v>
      </c>
      <c r="B5">
        <f>'WM Single'!AA5</f>
        <v>5.9</v>
      </c>
      <c r="C5">
        <f>B5/60</f>
        <v>9.8333333333333342E-2</v>
      </c>
      <c r="D5" s="35">
        <f>'WM Single'!AM5</f>
        <v>-0.11092243663828597</v>
      </c>
    </row>
    <row r="7" spans="1:4" x14ac:dyDescent="0.25">
      <c r="A7" t="str">
        <f>'WM Single'!B7</f>
        <v>Ricker, T. J., &amp; Cowan, N. (2010). Loss of visual working memory within seconds: The combined use of refreshable and non-refreshable features. Journal of Experimental Psychology: Learning, Memory, and Cognition, 36(6), 1355-1368.</v>
      </c>
      <c r="B7">
        <f>'WM Single'!AA7</f>
        <v>5.9</v>
      </c>
      <c r="C7">
        <f>B7/60</f>
        <v>9.8333333333333342E-2</v>
      </c>
      <c r="D7" s="35">
        <f>'WM Single'!AM7</f>
        <v>-0.41909110484810935</v>
      </c>
    </row>
    <row r="9" spans="1:4" x14ac:dyDescent="0.25">
      <c r="A9" t="str">
        <f>'WM Single'!B9</f>
        <v>Ricker, T. J., &amp; Cowan, N. (2010). Loss of visual working memory within seconds: The combined use of refreshable and non-refreshable features. Journal of Experimental Psychology: Learning, Memory, and Cognition, 36(6), 1355-1368.</v>
      </c>
      <c r="B9">
        <f>'WM Single'!AA9</f>
        <v>5.9</v>
      </c>
      <c r="C9">
        <f>B9/60</f>
        <v>9.8333333333333342E-2</v>
      </c>
      <c r="D9" s="35">
        <f>'WM Single'!AM9</f>
        <v>-0.29603830479199178</v>
      </c>
    </row>
    <row r="11" spans="1:4" x14ac:dyDescent="0.25">
      <c r="A11" t="str">
        <f>'WM Single'!B11</f>
        <v>Ricker, T. J., &amp; Cowan, N. (2010). Loss of visual working memory within seconds: The combined use of refreshable and non-refreshable features. Journal of Experimental Psychology: Learning, Memory, and Cognition, 36(6), 1355-1368.</v>
      </c>
      <c r="B11">
        <f>'WM Single'!AA11</f>
        <v>6</v>
      </c>
      <c r="C11">
        <f>B11/60</f>
        <v>0.1</v>
      </c>
      <c r="D11" s="35">
        <f>'WM Single'!AM11</f>
        <v>-0.15592760187876892</v>
      </c>
    </row>
    <row r="13" spans="1:4" x14ac:dyDescent="0.25">
      <c r="A13" t="str">
        <f>'WM Single'!B13</f>
        <v>Ricker, T. J., &amp; Cowan, N. (2010). Loss of visual working memory within seconds: The combined use of refreshable and non-refreshable features. Journal of Experimental Psychology: Learning, Memory, and Cognition, 36(6), 1355-1368.</v>
      </c>
      <c r="B13">
        <f>'WM Single'!AA13</f>
        <v>6</v>
      </c>
      <c r="C13">
        <f>B13/60</f>
        <v>0.1</v>
      </c>
      <c r="D13" s="35">
        <f>'WM Single'!AM13</f>
        <v>-0.25298134529679334</v>
      </c>
    </row>
    <row r="15" spans="1:4" x14ac:dyDescent="0.25">
      <c r="A15" t="str">
        <f>'WM Single'!B15</f>
        <v>Ricker, T. J., &amp; Cowan, N. (2010). Loss of visual working memory within seconds: The combined use of refreshable and non-refreshable features. Journal of Experimental Psychology: Learning, Memory, and Cognition, 36(6), 1355-1368.</v>
      </c>
      <c r="B15">
        <f>'WM Single'!AA15</f>
        <v>6</v>
      </c>
      <c r="C15">
        <f>B15/60</f>
        <v>0.1</v>
      </c>
      <c r="D15" s="35">
        <f>'WM Single'!AM15</f>
        <v>-7.3252894346361244E-3</v>
      </c>
    </row>
    <row r="17" spans="1:8" x14ac:dyDescent="0.25">
      <c r="A17" t="str">
        <f>'WM Single'!B17</f>
        <v>Ricker, T. J., &amp; Cowan, N. (2010). Loss of visual working memory within seconds: The combined use of refreshable and non-refreshable features. Journal of Experimental Psychology: Learning, Memory, and Cognition, 36(6), 1355-1368.</v>
      </c>
      <c r="B17">
        <f>'WM Single'!AA17</f>
        <v>6</v>
      </c>
      <c r="C17">
        <f>B17/60</f>
        <v>0.1</v>
      </c>
      <c r="D17" s="35">
        <f>'WM Single'!AM17</f>
        <v>-0.48149912713617249</v>
      </c>
    </row>
    <row r="18" spans="1:8" x14ac:dyDescent="0.25">
      <c r="G18" s="67" t="e">
        <f>AVERAGE(D3:D183)</f>
        <v>#REF!</v>
      </c>
      <c r="H18" s="66" t="e">
        <f xml:space="preserve"> STDEV(D3:D183)/SQRT(COUNT(D3:D183))</f>
        <v>#REF!</v>
      </c>
    </row>
    <row r="19" spans="1:8" x14ac:dyDescent="0.25">
      <c r="A19" t="e">
        <f>'WM Single'!#REF!</f>
        <v>#REF!</v>
      </c>
      <c r="B19" t="e">
        <f>'WM Single'!#REF!</f>
        <v>#REF!</v>
      </c>
      <c r="C19" t="e">
        <f>B19/60</f>
        <v>#REF!</v>
      </c>
      <c r="D19" s="35" t="e">
        <f>'WM Single'!#REF!</f>
        <v>#REF!</v>
      </c>
    </row>
    <row r="20" spans="1:8" x14ac:dyDescent="0.25">
      <c r="D20" s="35"/>
    </row>
    <row r="21" spans="1:8" x14ac:dyDescent="0.25">
      <c r="A21" t="s">
        <v>169</v>
      </c>
      <c r="B21" t="e">
        <f>WM!#REF!</f>
        <v>#REF!</v>
      </c>
      <c r="C21" t="e">
        <f>B21/60</f>
        <v>#REF!</v>
      </c>
      <c r="D21" s="35" t="e">
        <f>WM!#REF!</f>
        <v>#REF!</v>
      </c>
    </row>
    <row r="23" spans="1:8" x14ac:dyDescent="0.25">
      <c r="A23" t="e">
        <f>'WM Single'!#REF!</f>
        <v>#REF!</v>
      </c>
      <c r="B23" t="e">
        <f>'WM Single'!#REF!</f>
        <v>#REF!</v>
      </c>
      <c r="C23" t="e">
        <f>B23/60</f>
        <v>#REF!</v>
      </c>
      <c r="D23" s="35" t="e">
        <f>'WM Single'!#REF!</f>
        <v>#REF!</v>
      </c>
    </row>
    <row r="25" spans="1:8" x14ac:dyDescent="0.25">
      <c r="A25" t="e">
        <f>'WM Single'!#REF!</f>
        <v>#REF!</v>
      </c>
      <c r="B25" t="e">
        <f>'WM Single'!#REF!</f>
        <v>#REF!</v>
      </c>
      <c r="C25" t="e">
        <f>B25/60</f>
        <v>#REF!</v>
      </c>
      <c r="D25" s="35" t="e">
        <f>'WM Single'!#REF!</f>
        <v>#REF!</v>
      </c>
    </row>
    <row r="27" spans="1:8" x14ac:dyDescent="0.25">
      <c r="A27" t="e">
        <f>'WM Single'!#REF!</f>
        <v>#REF!</v>
      </c>
      <c r="B27" t="e">
        <f>'WM Single'!#REF!</f>
        <v>#REF!</v>
      </c>
      <c r="C27" t="e">
        <f>B27/60</f>
        <v>#REF!</v>
      </c>
      <c r="D27" s="35" t="e">
        <f>'WM Single'!#REF!</f>
        <v>#REF!</v>
      </c>
    </row>
    <row r="29" spans="1:8" x14ac:dyDescent="0.25">
      <c r="A29" t="e">
        <f>'WM Single'!#REF!</f>
        <v>#REF!</v>
      </c>
      <c r="B29" t="e">
        <f>'WM Single'!#REF!</f>
        <v>#REF!</v>
      </c>
      <c r="C29" t="e">
        <f>B29/60</f>
        <v>#REF!</v>
      </c>
      <c r="D29" s="35" t="e">
        <f>'WM Single'!#REF!</f>
        <v>#REF!</v>
      </c>
    </row>
    <row r="31" spans="1:8" x14ac:dyDescent="0.25">
      <c r="A31" t="e">
        <f>'WM Single'!#REF!</f>
        <v>#REF!</v>
      </c>
      <c r="B31" t="e">
        <f>'WM Single'!#REF!</f>
        <v>#REF!</v>
      </c>
      <c r="C31" t="e">
        <f>B31/60</f>
        <v>#REF!</v>
      </c>
      <c r="D31" s="35" t="e">
        <f>'WM Single'!#REF!</f>
        <v>#REF!</v>
      </c>
    </row>
    <row r="33" spans="1:5" x14ac:dyDescent="0.25">
      <c r="A33" t="e">
        <f>'WM Single'!#REF!</f>
        <v>#REF!</v>
      </c>
      <c r="B33" t="e">
        <f>'WM Single'!#REF!</f>
        <v>#REF!</v>
      </c>
      <c r="C33" t="e">
        <f>B33/60</f>
        <v>#REF!</v>
      </c>
      <c r="D33" s="35" t="e">
        <f>'WM Single'!#REF!</f>
        <v>#REF!</v>
      </c>
    </row>
    <row r="35" spans="1:5" x14ac:dyDescent="0.25">
      <c r="A35" t="e">
        <f>'WM Single'!#REF!</f>
        <v>#REF!</v>
      </c>
      <c r="B35" t="e">
        <f>'WM Single'!#REF!</f>
        <v>#REF!</v>
      </c>
      <c r="C35" t="e">
        <f>B35/60</f>
        <v>#REF!</v>
      </c>
      <c r="D35" s="35" t="e">
        <f>'WM Single'!#REF!</f>
        <v>#REF!</v>
      </c>
    </row>
    <row r="37" spans="1:5" x14ac:dyDescent="0.25">
      <c r="A37" t="e">
        <f>'WM Single'!#REF!</f>
        <v>#REF!</v>
      </c>
      <c r="B37" t="e">
        <f>'WM Single'!#REF!</f>
        <v>#REF!</v>
      </c>
      <c r="C37" t="e">
        <f>B37/60</f>
        <v>#REF!</v>
      </c>
      <c r="D37" s="35" t="e">
        <f>'WM Single'!#REF!</f>
        <v>#REF!</v>
      </c>
    </row>
    <row r="39" spans="1:5" x14ac:dyDescent="0.25">
      <c r="A39" t="e">
        <f>'WM Single'!#REF!</f>
        <v>#REF!</v>
      </c>
      <c r="B39" t="e">
        <f>'WM Single'!#REF!</f>
        <v>#REF!</v>
      </c>
      <c r="C39" t="e">
        <f>B39/60</f>
        <v>#REF!</v>
      </c>
      <c r="D39" s="35" t="e">
        <f>'WM Single'!#REF!</f>
        <v>#REF!</v>
      </c>
    </row>
    <row r="41" spans="1:5" x14ac:dyDescent="0.25">
      <c r="A41" t="e">
        <f>'WM Single'!#REF!</f>
        <v>#REF!</v>
      </c>
      <c r="B41" t="e">
        <f>'WM Single'!#REF!</f>
        <v>#REF!</v>
      </c>
      <c r="C41" t="e">
        <f>B41/60</f>
        <v>#REF!</v>
      </c>
      <c r="D41" s="71"/>
      <c r="E41" s="35">
        <f>'WM Single'!AM30</f>
        <v>0</v>
      </c>
    </row>
    <row r="43" spans="1:5" x14ac:dyDescent="0.25">
      <c r="A43" t="e">
        <f>'WM Single'!#REF!</f>
        <v>#REF!</v>
      </c>
      <c r="B43" t="e">
        <f>'WM Single'!#REF!</f>
        <v>#REF!</v>
      </c>
      <c r="C43" t="e">
        <f>B43/60</f>
        <v>#REF!</v>
      </c>
      <c r="D43" s="35" t="e">
        <f>'WM Single'!#REF!</f>
        <v>#REF!</v>
      </c>
    </row>
    <row r="45" spans="1:5" x14ac:dyDescent="0.25">
      <c r="A45" t="e">
        <f>'WM Single'!#REF!</f>
        <v>#REF!</v>
      </c>
      <c r="B45" t="e">
        <f>'WM Single'!#REF!</f>
        <v>#REF!</v>
      </c>
      <c r="C45" t="e">
        <f>B45/60</f>
        <v>#REF!</v>
      </c>
      <c r="D45" s="35" t="e">
        <f>'WM Single'!#REF!</f>
        <v>#REF!</v>
      </c>
    </row>
    <row r="47" spans="1:5" x14ac:dyDescent="0.25">
      <c r="A47" t="e">
        <f>'WM Single'!#REF!</f>
        <v>#REF!</v>
      </c>
      <c r="B47" t="e">
        <f>'WM Single'!#REF!</f>
        <v>#REF!</v>
      </c>
      <c r="C47" t="e">
        <f>B47/60</f>
        <v>#REF!</v>
      </c>
      <c r="D47" s="35" t="e">
        <f>'WM Single'!#REF!</f>
        <v>#REF!</v>
      </c>
    </row>
    <row r="49" spans="1:4" x14ac:dyDescent="0.25">
      <c r="A49" t="e">
        <f>'WM Single'!#REF!</f>
        <v>#REF!</v>
      </c>
      <c r="B49" t="e">
        <f>'WM Single'!#REF!</f>
        <v>#REF!</v>
      </c>
      <c r="C49" t="e">
        <f>B49/60</f>
        <v>#REF!</v>
      </c>
      <c r="D49" s="35" t="e">
        <f>'WM Single'!#REF!</f>
        <v>#REF!</v>
      </c>
    </row>
    <row r="51" spans="1:4" x14ac:dyDescent="0.25">
      <c r="A51" t="e">
        <f>'WM Single'!#REF!</f>
        <v>#REF!</v>
      </c>
      <c r="B51" t="e">
        <f>'WM Single'!#REF!</f>
        <v>#REF!</v>
      </c>
      <c r="C51" t="e">
        <f>B51/60</f>
        <v>#REF!</v>
      </c>
      <c r="D51" s="35" t="e">
        <f>'WM Single'!#REF!</f>
        <v>#REF!</v>
      </c>
    </row>
    <row r="53" spans="1:4" x14ac:dyDescent="0.25">
      <c r="A53" t="e">
        <f>'WM Single'!#REF!</f>
        <v>#REF!</v>
      </c>
      <c r="B53" t="e">
        <f>'WM Single'!#REF!</f>
        <v>#REF!</v>
      </c>
      <c r="C53" t="e">
        <f>B53/60</f>
        <v>#REF!</v>
      </c>
      <c r="D53" s="35" t="e">
        <f>'WM Single'!#REF!</f>
        <v>#REF!</v>
      </c>
    </row>
    <row r="55" spans="1:4" x14ac:dyDescent="0.25">
      <c r="A55" t="e">
        <f>'WM Single'!#REF!</f>
        <v>#REF!</v>
      </c>
      <c r="B55" t="e">
        <f>'WM Single'!#REF!</f>
        <v>#REF!</v>
      </c>
      <c r="C55" t="e">
        <f>B55/60</f>
        <v>#REF!</v>
      </c>
      <c r="D55" s="35" t="e">
        <f>'WM Single'!#REF!</f>
        <v>#REF!</v>
      </c>
    </row>
    <row r="57" spans="1:4" x14ac:dyDescent="0.25">
      <c r="A57" t="e">
        <f>'WM Single'!#REF!</f>
        <v>#REF!</v>
      </c>
      <c r="B57" t="e">
        <f>'WM Single'!#REF!</f>
        <v>#REF!</v>
      </c>
      <c r="C57" t="e">
        <f>B57/60</f>
        <v>#REF!</v>
      </c>
      <c r="D57" s="35" t="e">
        <f>'WM Single'!#REF!</f>
        <v>#REF!</v>
      </c>
    </row>
    <row r="59" spans="1:4" x14ac:dyDescent="0.25">
      <c r="A59" t="e">
        <f>'WM Single'!#REF!</f>
        <v>#REF!</v>
      </c>
      <c r="B59" t="e">
        <f>'WM Single'!#REF!</f>
        <v>#REF!</v>
      </c>
      <c r="C59" t="e">
        <f>B59/60</f>
        <v>#REF!</v>
      </c>
      <c r="D59" s="35" t="e">
        <f>'WM Single'!#REF!</f>
        <v>#REF!</v>
      </c>
    </row>
    <row r="61" spans="1:4" x14ac:dyDescent="0.25">
      <c r="A61" t="e">
        <f>'WM Single'!#REF!</f>
        <v>#REF!</v>
      </c>
      <c r="B61" t="e">
        <f>'WM Single'!#REF!</f>
        <v>#REF!</v>
      </c>
      <c r="C61" t="e">
        <f>B61/60</f>
        <v>#REF!</v>
      </c>
      <c r="D61" s="35" t="e">
        <f>'WM Single'!#REF!</f>
        <v>#REF!</v>
      </c>
    </row>
    <row r="63" spans="1:4" x14ac:dyDescent="0.25">
      <c r="A63" t="e">
        <f>'WM Single'!#REF!</f>
        <v>#REF!</v>
      </c>
      <c r="B63" t="e">
        <f>'WM Single'!#REF!</f>
        <v>#REF!</v>
      </c>
      <c r="C63" t="e">
        <f>B63/60</f>
        <v>#REF!</v>
      </c>
      <c r="D63" s="35" t="e">
        <f>'WM Single'!#REF!</f>
        <v>#REF!</v>
      </c>
    </row>
    <row r="65" spans="1:4" x14ac:dyDescent="0.25">
      <c r="A65" t="e">
        <f>'WM Single'!#REF!</f>
        <v>#REF!</v>
      </c>
      <c r="B65" t="e">
        <f>'WM Single'!#REF!</f>
        <v>#REF!</v>
      </c>
      <c r="C65" t="e">
        <f>B65/60</f>
        <v>#REF!</v>
      </c>
      <c r="D65" s="35" t="e">
        <f>'WM Single'!#REF!</f>
        <v>#REF!</v>
      </c>
    </row>
    <row r="67" spans="1:4" x14ac:dyDescent="0.25">
      <c r="A67" t="e">
        <f>'WM Single'!#REF!</f>
        <v>#REF!</v>
      </c>
      <c r="B67" t="e">
        <f>'WM Single'!#REF!</f>
        <v>#REF!</v>
      </c>
      <c r="C67" t="e">
        <f>B67/60</f>
        <v>#REF!</v>
      </c>
      <c r="D67" s="35" t="e">
        <f>'WM Single'!#REF!</f>
        <v>#REF!</v>
      </c>
    </row>
    <row r="69" spans="1:4" x14ac:dyDescent="0.25">
      <c r="A69" t="e">
        <f>'WM Single'!#REF!</f>
        <v>#REF!</v>
      </c>
      <c r="B69" t="e">
        <f>'WM Single'!#REF!</f>
        <v>#REF!</v>
      </c>
      <c r="C69" t="e">
        <f>B69/60</f>
        <v>#REF!</v>
      </c>
      <c r="D69" s="35" t="e">
        <f>'WM Single'!#REF!</f>
        <v>#REF!</v>
      </c>
    </row>
    <row r="71" spans="1:4" x14ac:dyDescent="0.25">
      <c r="A71" t="e">
        <f>'WM Single'!#REF!</f>
        <v>#REF!</v>
      </c>
      <c r="B71" t="e">
        <f>'WM Single'!#REF!</f>
        <v>#REF!</v>
      </c>
      <c r="C71" t="e">
        <f>B71/60</f>
        <v>#REF!</v>
      </c>
      <c r="D71" s="35" t="e">
        <f>'WM Single'!#REF!</f>
        <v>#REF!</v>
      </c>
    </row>
    <row r="73" spans="1:4" x14ac:dyDescent="0.25">
      <c r="A73" t="e">
        <f>'WM Single'!#REF!</f>
        <v>#REF!</v>
      </c>
      <c r="B73" t="e">
        <f>'WM Single'!#REF!</f>
        <v>#REF!</v>
      </c>
      <c r="C73" t="e">
        <f>B73/60</f>
        <v>#REF!</v>
      </c>
      <c r="D73" s="35" t="e">
        <f>'WM Single'!#REF!</f>
        <v>#REF!</v>
      </c>
    </row>
    <row r="75" spans="1:4" x14ac:dyDescent="0.25">
      <c r="A75" t="e">
        <f>'WM Single'!#REF!</f>
        <v>#REF!</v>
      </c>
      <c r="B75" t="e">
        <f>'WM Single'!#REF!</f>
        <v>#REF!</v>
      </c>
      <c r="C75" t="e">
        <f>B75/60</f>
        <v>#REF!</v>
      </c>
      <c r="D75" s="35" t="e">
        <f>'WM Single'!#REF!</f>
        <v>#REF!</v>
      </c>
    </row>
    <row r="77" spans="1:4" x14ac:dyDescent="0.25">
      <c r="A77" t="e">
        <f>'WM Single'!#REF!</f>
        <v>#REF!</v>
      </c>
      <c r="B77" t="e">
        <f>'WM Single'!#REF!</f>
        <v>#REF!</v>
      </c>
      <c r="C77" t="e">
        <f>B77/60</f>
        <v>#REF!</v>
      </c>
      <c r="D77" s="35" t="e">
        <f>'WM Single'!#REF!</f>
        <v>#REF!</v>
      </c>
    </row>
    <row r="79" spans="1:4" x14ac:dyDescent="0.25">
      <c r="A79" t="e">
        <f>'WM Single'!#REF!</f>
        <v>#REF!</v>
      </c>
      <c r="B79" t="e">
        <f>'WM Single'!#REF!</f>
        <v>#REF!</v>
      </c>
      <c r="C79" t="e">
        <f>B79/60</f>
        <v>#REF!</v>
      </c>
      <c r="D79" s="35" t="e">
        <f>'WM Single'!#REF!</f>
        <v>#REF!</v>
      </c>
    </row>
    <row r="81" spans="1:4" x14ac:dyDescent="0.25">
      <c r="A81" t="e">
        <f>'WM Single'!#REF!</f>
        <v>#REF!</v>
      </c>
      <c r="B81" t="e">
        <f>'WM Single'!#REF!</f>
        <v>#REF!</v>
      </c>
      <c r="C81" t="e">
        <f>B81/60</f>
        <v>#REF!</v>
      </c>
      <c r="D81" s="35" t="e">
        <f>'WM Single'!#REF!</f>
        <v>#REF!</v>
      </c>
    </row>
    <row r="83" spans="1:4" x14ac:dyDescent="0.25">
      <c r="A83" t="e">
        <f>'WM Single'!#REF!</f>
        <v>#REF!</v>
      </c>
      <c r="B83" t="e">
        <f>'WM Single'!#REF!</f>
        <v>#REF!</v>
      </c>
      <c r="C83" t="e">
        <f>B83/60</f>
        <v>#REF!</v>
      </c>
      <c r="D83" s="35" t="e">
        <f>'WM Single'!#REF!</f>
        <v>#REF!</v>
      </c>
    </row>
    <row r="85" spans="1:4" x14ac:dyDescent="0.25">
      <c r="A85" t="e">
        <f>'WM Single'!#REF!</f>
        <v>#REF!</v>
      </c>
      <c r="B85" t="e">
        <f>'WM Single'!#REF!</f>
        <v>#REF!</v>
      </c>
      <c r="C85" t="e">
        <f>B85/60</f>
        <v>#REF!</v>
      </c>
      <c r="D85" s="35" t="e">
        <f>'WM Single'!#REF!</f>
        <v>#REF!</v>
      </c>
    </row>
    <row r="87" spans="1:4" x14ac:dyDescent="0.25">
      <c r="A87" t="e">
        <f>'WM Single'!#REF!</f>
        <v>#REF!</v>
      </c>
      <c r="B87" t="e">
        <f>'WM Single'!#REF!</f>
        <v>#REF!</v>
      </c>
      <c r="C87" t="e">
        <f>B87/60</f>
        <v>#REF!</v>
      </c>
      <c r="D87" s="35" t="e">
        <f>'WM Single'!#REF!</f>
        <v>#REF!</v>
      </c>
    </row>
    <row r="89" spans="1:4" x14ac:dyDescent="0.25">
      <c r="A89" t="e">
        <f>'WM Single'!#REF!</f>
        <v>#REF!</v>
      </c>
      <c r="B89" t="e">
        <f>'WM Single'!#REF!</f>
        <v>#REF!</v>
      </c>
      <c r="C89" t="e">
        <f>B89/60</f>
        <v>#REF!</v>
      </c>
      <c r="D89" s="35" t="e">
        <f>'WM Single'!#REF!</f>
        <v>#REF!</v>
      </c>
    </row>
    <row r="91" spans="1:4" x14ac:dyDescent="0.25">
      <c r="A91" t="e">
        <f>'WM Single'!#REF!</f>
        <v>#REF!</v>
      </c>
      <c r="B91" t="e">
        <f>'WM Single'!#REF!</f>
        <v>#REF!</v>
      </c>
      <c r="C91" t="e">
        <f>B91/60</f>
        <v>#REF!</v>
      </c>
      <c r="D91" s="35" t="e">
        <f>'WM Single'!#REF!</f>
        <v>#REF!</v>
      </c>
    </row>
    <row r="93" spans="1:4" x14ac:dyDescent="0.25">
      <c r="A93" t="e">
        <f>'WM Single'!#REF!</f>
        <v>#REF!</v>
      </c>
      <c r="B93" t="e">
        <f>'WM Single'!#REF!</f>
        <v>#REF!</v>
      </c>
      <c r="C93" t="e">
        <f>B93/60</f>
        <v>#REF!</v>
      </c>
      <c r="D93" s="35" t="e">
        <f>'WM Single'!#REF!</f>
        <v>#REF!</v>
      </c>
    </row>
    <row r="95" spans="1:4" x14ac:dyDescent="0.25">
      <c r="A95" t="e">
        <f>'WM Single'!#REF!</f>
        <v>#REF!</v>
      </c>
      <c r="B95" t="e">
        <f>'WM Single'!#REF!</f>
        <v>#REF!</v>
      </c>
      <c r="C95" t="e">
        <f>B95/60</f>
        <v>#REF!</v>
      </c>
      <c r="D95" s="35" t="e">
        <f>'WM Single'!#REF!</f>
        <v>#REF!</v>
      </c>
    </row>
    <row r="97" spans="1:4" x14ac:dyDescent="0.25">
      <c r="A97" t="e">
        <f>'WM Single'!#REF!</f>
        <v>#REF!</v>
      </c>
      <c r="B97" t="e">
        <f>'WM Single'!#REF!</f>
        <v>#REF!</v>
      </c>
      <c r="C97" t="e">
        <f>B97/60</f>
        <v>#REF!</v>
      </c>
      <c r="D97" s="35" t="e">
        <f>'WM Single'!#REF!</f>
        <v>#REF!</v>
      </c>
    </row>
    <row r="99" spans="1:4" x14ac:dyDescent="0.25">
      <c r="A99" t="e">
        <f>'WM Single'!#REF!</f>
        <v>#REF!</v>
      </c>
      <c r="B99" t="e">
        <f>'WM Single'!#REF!</f>
        <v>#REF!</v>
      </c>
      <c r="C99" t="e">
        <f>B99/60</f>
        <v>#REF!</v>
      </c>
      <c r="D99" s="35" t="e">
        <f>'WM Single'!#REF!</f>
        <v>#REF!</v>
      </c>
    </row>
    <row r="101" spans="1:4" x14ac:dyDescent="0.25">
      <c r="A101" t="e">
        <f>'WM Single'!#REF!</f>
        <v>#REF!</v>
      </c>
      <c r="B101" t="e">
        <f>'WM Single'!#REF!</f>
        <v>#REF!</v>
      </c>
      <c r="C101" t="e">
        <f>B101/60</f>
        <v>#REF!</v>
      </c>
      <c r="D101" s="35" t="e">
        <f>'WM Single'!#REF!</f>
        <v>#REF!</v>
      </c>
    </row>
    <row r="103" spans="1:4" x14ac:dyDescent="0.25">
      <c r="A103" t="e">
        <f>'WM Single'!#REF!</f>
        <v>#REF!</v>
      </c>
      <c r="B103" t="e">
        <f>'WM Single'!#REF!</f>
        <v>#REF!</v>
      </c>
      <c r="C103" t="e">
        <f>B103/60</f>
        <v>#REF!</v>
      </c>
      <c r="D103" s="35" t="e">
        <f>'WM Single'!#REF!</f>
        <v>#REF!</v>
      </c>
    </row>
    <row r="105" spans="1:4" x14ac:dyDescent="0.25">
      <c r="A105" t="e">
        <f>'WM Single'!#REF!</f>
        <v>#REF!</v>
      </c>
      <c r="B105" t="e">
        <f>'WM Single'!#REF!</f>
        <v>#REF!</v>
      </c>
      <c r="C105" t="e">
        <f>B105/60</f>
        <v>#REF!</v>
      </c>
      <c r="D105" s="35" t="e">
        <f>'WM Single'!#REF!</f>
        <v>#REF!</v>
      </c>
    </row>
    <row r="107" spans="1:4" x14ac:dyDescent="0.25">
      <c r="A107" t="e">
        <f>'WM Single'!#REF!</f>
        <v>#REF!</v>
      </c>
      <c r="B107" t="e">
        <f>'WM Single'!#REF!</f>
        <v>#REF!</v>
      </c>
      <c r="C107" t="e">
        <f>B107/60</f>
        <v>#REF!</v>
      </c>
      <c r="D107" s="35" t="e">
        <f>'WM Single'!#REF!</f>
        <v>#REF!</v>
      </c>
    </row>
    <row r="109" spans="1:4" x14ac:dyDescent="0.25">
      <c r="A109" t="e">
        <f>'WM Single'!#REF!</f>
        <v>#REF!</v>
      </c>
      <c r="B109" t="e">
        <f>'WM Single'!#REF!</f>
        <v>#REF!</v>
      </c>
      <c r="C109" t="e">
        <f>B109/60</f>
        <v>#REF!</v>
      </c>
      <c r="D109" s="35" t="e">
        <f>'WM Single'!#REF!</f>
        <v>#REF!</v>
      </c>
    </row>
    <row r="111" spans="1:4" x14ac:dyDescent="0.25">
      <c r="A111" t="e">
        <f>'WM Single'!#REF!</f>
        <v>#REF!</v>
      </c>
      <c r="B111" t="e">
        <f>'WM Single'!#REF!</f>
        <v>#REF!</v>
      </c>
      <c r="C111" t="e">
        <f>B111/60</f>
        <v>#REF!</v>
      </c>
      <c r="D111" s="35" t="e">
        <f>'WM Single'!#REF!</f>
        <v>#REF!</v>
      </c>
    </row>
    <row r="113" spans="1:4" x14ac:dyDescent="0.25">
      <c r="A113" t="e">
        <f>'WM Single'!#REF!</f>
        <v>#REF!</v>
      </c>
      <c r="B113" t="e">
        <f>'WM Single'!#REF!</f>
        <v>#REF!</v>
      </c>
      <c r="C113" t="e">
        <f>B113/60</f>
        <v>#REF!</v>
      </c>
      <c r="D113" s="35" t="e">
        <f>'WM Single'!#REF!</f>
        <v>#REF!</v>
      </c>
    </row>
    <row r="115" spans="1:4" x14ac:dyDescent="0.25">
      <c r="A115" t="e">
        <f>'WM Single'!#REF!</f>
        <v>#REF!</v>
      </c>
      <c r="B115" t="e">
        <f>'WM Single'!#REF!</f>
        <v>#REF!</v>
      </c>
      <c r="C115" t="e">
        <f>B115/60</f>
        <v>#REF!</v>
      </c>
      <c r="D115" s="35" t="e">
        <f>'WM Single'!#REF!</f>
        <v>#REF!</v>
      </c>
    </row>
    <row r="117" spans="1:4" x14ac:dyDescent="0.25">
      <c r="A117" t="e">
        <f>'WM Single'!#REF!</f>
        <v>#REF!</v>
      </c>
      <c r="B117" t="e">
        <f>'WM Single'!#REF!</f>
        <v>#REF!</v>
      </c>
      <c r="C117" t="e">
        <f>B117/60</f>
        <v>#REF!</v>
      </c>
      <c r="D117" s="35" t="e">
        <f>'WM Single'!#REF!</f>
        <v>#REF!</v>
      </c>
    </row>
    <row r="119" spans="1:4" x14ac:dyDescent="0.25">
      <c r="A119" t="e">
        <f>'WM Single'!#REF!</f>
        <v>#REF!</v>
      </c>
      <c r="B119" t="e">
        <f>'WM Single'!#REF!</f>
        <v>#REF!</v>
      </c>
      <c r="C119" t="e">
        <f>B119/60</f>
        <v>#REF!</v>
      </c>
      <c r="D119" s="35" t="e">
        <f>'WM Single'!#REF!</f>
        <v>#REF!</v>
      </c>
    </row>
    <row r="121" spans="1:4" x14ac:dyDescent="0.25">
      <c r="A121" t="e">
        <f>'WM Single'!#REF!</f>
        <v>#REF!</v>
      </c>
      <c r="B121" t="e">
        <f>'WM Single'!#REF!</f>
        <v>#REF!</v>
      </c>
      <c r="C121" t="e">
        <f>B121/60</f>
        <v>#REF!</v>
      </c>
      <c r="D121" s="35" t="e">
        <f>'WM Single'!#REF!</f>
        <v>#REF!</v>
      </c>
    </row>
    <row r="123" spans="1:4" x14ac:dyDescent="0.25">
      <c r="A123" t="e">
        <f>'WM Single'!#REF!</f>
        <v>#REF!</v>
      </c>
      <c r="B123" t="e">
        <f>'WM Single'!#REF!</f>
        <v>#REF!</v>
      </c>
      <c r="C123" t="e">
        <f>B123/60</f>
        <v>#REF!</v>
      </c>
      <c r="D123" s="35" t="e">
        <f>'WM Single'!#REF!</f>
        <v>#REF!</v>
      </c>
    </row>
    <row r="125" spans="1:4" x14ac:dyDescent="0.25">
      <c r="A125" t="e">
        <f>'WM Single'!#REF!</f>
        <v>#REF!</v>
      </c>
      <c r="B125" t="e">
        <f>'WM Single'!#REF!</f>
        <v>#REF!</v>
      </c>
      <c r="C125" t="e">
        <f>B125/60</f>
        <v>#REF!</v>
      </c>
      <c r="D125" s="35" t="e">
        <f>'WM Single'!#REF!</f>
        <v>#REF!</v>
      </c>
    </row>
    <row r="127" spans="1:4" x14ac:dyDescent="0.25">
      <c r="A127" t="e">
        <f>'WM Single'!#REF!</f>
        <v>#REF!</v>
      </c>
      <c r="B127" t="e">
        <f>'WM Single'!#REF!</f>
        <v>#REF!</v>
      </c>
      <c r="C127" t="e">
        <f>B127/60</f>
        <v>#REF!</v>
      </c>
      <c r="D127" s="35" t="e">
        <f>'WM Single'!#REF!</f>
        <v>#REF!</v>
      </c>
    </row>
    <row r="129" spans="1:4" x14ac:dyDescent="0.25">
      <c r="A129" t="e">
        <f>'WM Single'!#REF!</f>
        <v>#REF!</v>
      </c>
      <c r="B129" t="e">
        <f>'WM Single'!#REF!</f>
        <v>#REF!</v>
      </c>
      <c r="C129" t="e">
        <f>B129/60</f>
        <v>#REF!</v>
      </c>
      <c r="D129" s="35" t="e">
        <f>'WM Single'!#REF!</f>
        <v>#REF!</v>
      </c>
    </row>
    <row r="131" spans="1:4" x14ac:dyDescent="0.25">
      <c r="A131" t="e">
        <f>'WM Single'!#REF!</f>
        <v>#REF!</v>
      </c>
      <c r="B131" t="e">
        <f>'WM Single'!#REF!</f>
        <v>#REF!</v>
      </c>
      <c r="C131" t="e">
        <f>B131/60</f>
        <v>#REF!</v>
      </c>
      <c r="D131" s="35" t="e">
        <f>'WM Single'!#REF!</f>
        <v>#REF!</v>
      </c>
    </row>
    <row r="133" spans="1:4" x14ac:dyDescent="0.25">
      <c r="A133" t="e">
        <f>'WM Single'!#REF!</f>
        <v>#REF!</v>
      </c>
      <c r="B133" t="e">
        <f>'WM Single'!#REF!</f>
        <v>#REF!</v>
      </c>
      <c r="C133" t="e">
        <f>B133/60</f>
        <v>#REF!</v>
      </c>
      <c r="D133" s="35" t="e">
        <f>'WM Single'!#REF!</f>
        <v>#REF!</v>
      </c>
    </row>
    <row r="135" spans="1:4" x14ac:dyDescent="0.25">
      <c r="A135" t="e">
        <f>'WM Single'!#REF!</f>
        <v>#REF!</v>
      </c>
      <c r="B135" t="e">
        <f>'WM Single'!#REF!</f>
        <v>#REF!</v>
      </c>
      <c r="C135" t="e">
        <f>B135/60</f>
        <v>#REF!</v>
      </c>
      <c r="D135" s="35" t="e">
        <f>'WM Single'!#REF!</f>
        <v>#REF!</v>
      </c>
    </row>
    <row r="137" spans="1:4" x14ac:dyDescent="0.25">
      <c r="A137" t="e">
        <f>'WM Single'!#REF!</f>
        <v>#REF!</v>
      </c>
      <c r="B137" t="e">
        <f>'WM Single'!#REF!</f>
        <v>#REF!</v>
      </c>
      <c r="C137" t="e">
        <f>B137/60</f>
        <v>#REF!</v>
      </c>
      <c r="D137" s="35" t="e">
        <f>'WM Single'!#REF!</f>
        <v>#REF!</v>
      </c>
    </row>
    <row r="139" spans="1:4" x14ac:dyDescent="0.25">
      <c r="A139" t="e">
        <f>'WM Single'!#REF!</f>
        <v>#REF!</v>
      </c>
      <c r="B139" t="e">
        <f>'WM Single'!#REF!</f>
        <v>#REF!</v>
      </c>
      <c r="C139" t="e">
        <f>B139/60</f>
        <v>#REF!</v>
      </c>
      <c r="D139" s="35" t="e">
        <f>'WM Single'!#REF!</f>
        <v>#REF!</v>
      </c>
    </row>
    <row r="141" spans="1:4" x14ac:dyDescent="0.25">
      <c r="A141" t="e">
        <f>'WM Single'!#REF!</f>
        <v>#REF!</v>
      </c>
      <c r="B141" t="e">
        <f>'WM Single'!#REF!</f>
        <v>#REF!</v>
      </c>
      <c r="C141" t="e">
        <f>B141/60</f>
        <v>#REF!</v>
      </c>
      <c r="D141" s="35" t="e">
        <f>'WM Single'!#REF!</f>
        <v>#REF!</v>
      </c>
    </row>
    <row r="143" spans="1:4" x14ac:dyDescent="0.25">
      <c r="A143" t="e">
        <f>'WM Single'!#REF!</f>
        <v>#REF!</v>
      </c>
      <c r="B143" t="e">
        <f>'WM Single'!#REF!</f>
        <v>#REF!</v>
      </c>
      <c r="C143" t="e">
        <f>B143/60</f>
        <v>#REF!</v>
      </c>
      <c r="D143" s="35" t="e">
        <f>'WM Single'!#REF!</f>
        <v>#REF!</v>
      </c>
    </row>
    <row r="145" spans="1:5" x14ac:dyDescent="0.25">
      <c r="A145" t="e">
        <f>'WM Single'!#REF!</f>
        <v>#REF!</v>
      </c>
      <c r="B145" t="e">
        <f>'WM Single'!#REF!</f>
        <v>#REF!</v>
      </c>
      <c r="C145" t="e">
        <f>B145/60</f>
        <v>#REF!</v>
      </c>
      <c r="D145" s="71"/>
      <c r="E145" s="35">
        <f>'WM Single'!AM31</f>
        <v>0</v>
      </c>
    </row>
    <row r="147" spans="1:5" x14ac:dyDescent="0.25">
      <c r="A147" t="e">
        <f>'WM Single'!#REF!</f>
        <v>#REF!</v>
      </c>
      <c r="B147" t="e">
        <f>'WM Single'!#REF!</f>
        <v>#REF!</v>
      </c>
      <c r="C147" t="e">
        <f>B147/60</f>
        <v>#REF!</v>
      </c>
      <c r="D147" s="35" t="e">
        <f>'WM Single'!#REF!</f>
        <v>#REF!</v>
      </c>
    </row>
    <row r="149" spans="1:5" x14ac:dyDescent="0.25">
      <c r="A149" t="e">
        <f>'WM Single'!#REF!</f>
        <v>#REF!</v>
      </c>
      <c r="B149" t="e">
        <f>'WM Single'!#REF!</f>
        <v>#REF!</v>
      </c>
      <c r="C149" t="e">
        <f>B149/60</f>
        <v>#REF!</v>
      </c>
      <c r="D149" s="35" t="e">
        <f>'WM Single'!#REF!</f>
        <v>#REF!</v>
      </c>
    </row>
    <row r="151" spans="1:5" x14ac:dyDescent="0.25">
      <c r="A151" t="e">
        <f>'WM Single'!#REF!</f>
        <v>#REF!</v>
      </c>
      <c r="B151" t="e">
        <f>'WM Single'!#REF!</f>
        <v>#REF!</v>
      </c>
      <c r="C151" t="e">
        <f>B151/60</f>
        <v>#REF!</v>
      </c>
      <c r="D151" s="35" t="e">
        <f>'WM Single'!#REF!</f>
        <v>#REF!</v>
      </c>
    </row>
    <row r="153" spans="1:5" x14ac:dyDescent="0.25">
      <c r="A153" t="e">
        <f>'WM Single'!#REF!</f>
        <v>#REF!</v>
      </c>
      <c r="B153" t="e">
        <f>'WM Single'!#REF!</f>
        <v>#REF!</v>
      </c>
      <c r="C153" t="e">
        <f>B153/60</f>
        <v>#REF!</v>
      </c>
      <c r="D153" s="35" t="e">
        <f>'WM Single'!#REF!</f>
        <v>#REF!</v>
      </c>
    </row>
    <row r="155" spans="1:5" x14ac:dyDescent="0.25">
      <c r="A155" t="e">
        <f>'WM Single'!#REF!</f>
        <v>#REF!</v>
      </c>
      <c r="B155" t="e">
        <f>'WM Single'!#REF!</f>
        <v>#REF!</v>
      </c>
      <c r="C155" t="e">
        <f>B155/60</f>
        <v>#REF!</v>
      </c>
      <c r="D155" s="35" t="e">
        <f>'WM Single'!#REF!</f>
        <v>#REF!</v>
      </c>
    </row>
    <row r="157" spans="1:5" x14ac:dyDescent="0.25">
      <c r="A157" t="e">
        <f>'WM Single'!#REF!</f>
        <v>#REF!</v>
      </c>
      <c r="B157" t="e">
        <f>'WM Single'!#REF!</f>
        <v>#REF!</v>
      </c>
      <c r="C157" t="e">
        <f>B157/60</f>
        <v>#REF!</v>
      </c>
      <c r="D157" s="35" t="e">
        <f>'WM Single'!#REF!</f>
        <v>#REF!</v>
      </c>
    </row>
    <row r="159" spans="1:5" x14ac:dyDescent="0.25">
      <c r="A159" t="e">
        <f>'WM Single'!#REF!</f>
        <v>#REF!</v>
      </c>
      <c r="B159" t="e">
        <f>'WM Single'!#REF!</f>
        <v>#REF!</v>
      </c>
      <c r="C159" t="e">
        <f>B159/60</f>
        <v>#REF!</v>
      </c>
      <c r="D159" s="35" t="e">
        <f>'WM Single'!#REF!</f>
        <v>#REF!</v>
      </c>
    </row>
    <row r="161" spans="1:4" x14ac:dyDescent="0.25">
      <c r="A161" t="e">
        <f>'WM Single'!#REF!</f>
        <v>#REF!</v>
      </c>
      <c r="B161" t="e">
        <f>'WM Single'!#REF!</f>
        <v>#REF!</v>
      </c>
      <c r="C161" t="e">
        <f>B161/60</f>
        <v>#REF!</v>
      </c>
      <c r="D161" s="35" t="e">
        <f>'WM Single'!#REF!</f>
        <v>#REF!</v>
      </c>
    </row>
    <row r="163" spans="1:4" x14ac:dyDescent="0.25">
      <c r="A163" t="e">
        <f>'WM Single'!#REF!</f>
        <v>#REF!</v>
      </c>
      <c r="B163" t="e">
        <f>'WM Single'!#REF!</f>
        <v>#REF!</v>
      </c>
      <c r="C163" t="e">
        <f>B163/60</f>
        <v>#REF!</v>
      </c>
      <c r="D163" s="35" t="e">
        <f>'WM Single'!#REF!</f>
        <v>#REF!</v>
      </c>
    </row>
    <row r="165" spans="1:4" x14ac:dyDescent="0.25">
      <c r="A165" t="e">
        <f>'WM Single'!#REF!</f>
        <v>#REF!</v>
      </c>
      <c r="B165" t="e">
        <f>'WM Single'!#REF!</f>
        <v>#REF!</v>
      </c>
      <c r="C165" t="e">
        <f>B165/60</f>
        <v>#REF!</v>
      </c>
      <c r="D165" s="35" t="e">
        <f>'WM Single'!#REF!</f>
        <v>#REF!</v>
      </c>
    </row>
    <row r="167" spans="1:4" x14ac:dyDescent="0.25">
      <c r="A167" t="e">
        <f>'WM Single'!#REF!</f>
        <v>#REF!</v>
      </c>
      <c r="B167" t="e">
        <f>'WM Single'!#REF!</f>
        <v>#REF!</v>
      </c>
      <c r="C167" t="e">
        <f>B167/60</f>
        <v>#REF!</v>
      </c>
      <c r="D167" s="35" t="e">
        <f>'WM Single'!#REF!</f>
        <v>#REF!</v>
      </c>
    </row>
    <row r="169" spans="1:4" x14ac:dyDescent="0.25">
      <c r="A169" t="e">
        <f>'WM Single'!#REF!</f>
        <v>#REF!</v>
      </c>
      <c r="B169" t="e">
        <f>'WM Single'!#REF!</f>
        <v>#REF!</v>
      </c>
      <c r="C169" t="e">
        <f>B169/60</f>
        <v>#REF!</v>
      </c>
      <c r="D169" s="35" t="e">
        <f>'WM Single'!#REF!</f>
        <v>#REF!</v>
      </c>
    </row>
    <row r="171" spans="1:4" x14ac:dyDescent="0.25">
      <c r="A171" t="e">
        <f>'WM Single'!#REF!</f>
        <v>#REF!</v>
      </c>
      <c r="B171" t="e">
        <f>'WM Single'!#REF!</f>
        <v>#REF!</v>
      </c>
      <c r="C171" t="e">
        <f>B171/60</f>
        <v>#REF!</v>
      </c>
      <c r="D171" s="35" t="e">
        <f>'WM Single'!#REF!</f>
        <v>#REF!</v>
      </c>
    </row>
    <row r="173" spans="1:4" x14ac:dyDescent="0.25">
      <c r="A173" t="e">
        <f>'WM Single'!#REF!</f>
        <v>#REF!</v>
      </c>
      <c r="B173" t="e">
        <f>'WM Single'!#REF!</f>
        <v>#REF!</v>
      </c>
      <c r="C173" t="e">
        <f>B173/60</f>
        <v>#REF!</v>
      </c>
      <c r="D173" s="35" t="e">
        <f>'WM Single'!#REF!</f>
        <v>#REF!</v>
      </c>
    </row>
    <row r="175" spans="1:4" x14ac:dyDescent="0.25">
      <c r="A175" t="e">
        <f>'WM Single'!#REF!</f>
        <v>#REF!</v>
      </c>
      <c r="B175" t="e">
        <f>'WM Single'!#REF!</f>
        <v>#REF!</v>
      </c>
      <c r="C175" t="e">
        <f>B175/60</f>
        <v>#REF!</v>
      </c>
      <c r="D175" s="35" t="e">
        <f>'WM Single'!#REF!</f>
        <v>#REF!</v>
      </c>
    </row>
    <row r="177" spans="4:4" x14ac:dyDescent="0.25">
      <c r="D177" s="35"/>
    </row>
    <row r="179" spans="4:4" x14ac:dyDescent="0.25">
      <c r="D179" s="35"/>
    </row>
    <row r="181" spans="4:4" x14ac:dyDescent="0.25">
      <c r="D181" s="35"/>
    </row>
    <row r="183" spans="4:4" x14ac:dyDescent="0.25">
      <c r="D183" s="35"/>
    </row>
    <row r="185" spans="4:4" x14ac:dyDescent="0.25">
      <c r="D185" s="35"/>
    </row>
    <row r="187" spans="4:4" x14ac:dyDescent="0.25">
      <c r="D187" s="35"/>
    </row>
    <row r="189" spans="4:4" x14ac:dyDescent="0.25">
      <c r="D189" s="35"/>
    </row>
    <row r="191" spans="4:4" x14ac:dyDescent="0.25">
      <c r="D191" s="35"/>
    </row>
    <row r="193" spans="4:4" x14ac:dyDescent="0.25">
      <c r="D193" s="35"/>
    </row>
    <row r="195" spans="4:4" x14ac:dyDescent="0.25">
      <c r="D195" s="35"/>
    </row>
    <row r="197" spans="4:4" x14ac:dyDescent="0.25">
      <c r="D197" s="35"/>
    </row>
    <row r="199" spans="4:4" x14ac:dyDescent="0.25">
      <c r="D199" s="35"/>
    </row>
    <row r="201" spans="4:4" x14ac:dyDescent="0.25">
      <c r="D201" s="35"/>
    </row>
    <row r="203" spans="4:4" x14ac:dyDescent="0.25">
      <c r="D203" s="35"/>
    </row>
    <row r="205" spans="4:4" x14ac:dyDescent="0.25">
      <c r="D205" s="35"/>
    </row>
    <row r="207" spans="4:4" x14ac:dyDescent="0.25">
      <c r="D207" s="35"/>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54"/>
  <sheetViews>
    <sheetView workbookViewId="0">
      <pane ySplit="1" topLeftCell="A2" activePane="bottomLeft" state="frozen"/>
      <selection activeCell="U1" sqref="U1"/>
      <selection pane="bottomLeft" activeCell="A2" sqref="A2"/>
    </sheetView>
  </sheetViews>
  <sheetFormatPr defaultColWidth="5.28515625" defaultRowHeight="12.75" outlineLevelCol="1" x14ac:dyDescent="0.2"/>
  <cols>
    <col min="1" max="1" width="11.28515625" style="33" bestFit="1" customWidth="1"/>
    <col min="2" max="2" width="9.7109375" style="10" customWidth="1"/>
    <col min="3" max="3" width="17.85546875" style="10" customWidth="1"/>
    <col min="4" max="4" width="6.85546875" style="36" customWidth="1"/>
    <col min="5" max="5" width="4.28515625" style="42" customWidth="1"/>
    <col min="6" max="6" width="10.28515625" style="36" bestFit="1" customWidth="1"/>
    <col min="7" max="7" width="9.28515625" style="36" customWidth="1"/>
    <col min="8" max="8" width="14.85546875" style="36" bestFit="1" customWidth="1"/>
    <col min="9" max="9" width="30.5703125" style="36" customWidth="1"/>
    <col min="10" max="10" width="17.5703125" style="36" customWidth="1"/>
    <col min="11" max="11" width="9.5703125" style="36" customWidth="1"/>
    <col min="12" max="13" width="9.7109375" style="36" customWidth="1"/>
    <col min="14" max="14" width="13.85546875" style="36" customWidth="1"/>
    <col min="15" max="15" width="8.7109375" style="36" customWidth="1"/>
    <col min="16" max="16" width="22.7109375" style="36" bestFit="1" customWidth="1"/>
    <col min="17" max="17" width="18.28515625" style="36" bestFit="1" customWidth="1"/>
    <col min="18" max="18" width="8.7109375" style="36" bestFit="1" customWidth="1"/>
    <col min="19" max="19" width="11.42578125" style="36" bestFit="1" customWidth="1"/>
    <col min="20" max="20" width="12.7109375" style="36" customWidth="1"/>
    <col min="21" max="21" width="10.42578125" style="36" bestFit="1" customWidth="1"/>
    <col min="22" max="22" width="10.42578125" style="36" customWidth="1"/>
    <col min="23" max="23" width="11.85546875" style="36" customWidth="1"/>
    <col min="24" max="24" width="8.140625" style="36" customWidth="1"/>
    <col min="25" max="25" width="10" style="42" customWidth="1"/>
    <col min="26" max="26" width="15.42578125" style="36" customWidth="1"/>
    <col min="27" max="27" width="11" style="36" customWidth="1"/>
    <col min="28" max="28" width="16.42578125" style="36" customWidth="1"/>
    <col min="29" max="29" width="13.5703125" style="36" customWidth="1"/>
    <col min="30" max="30" width="13.140625" style="36" customWidth="1"/>
    <col min="31" max="31" width="11" style="36" customWidth="1"/>
    <col min="32" max="32" width="12.5703125" style="46" customWidth="1"/>
    <col min="33" max="33" width="10.140625" style="29" customWidth="1"/>
    <col min="34" max="34" width="10.7109375" style="8" customWidth="1"/>
    <col min="35" max="35" width="10.7109375" style="29" customWidth="1"/>
    <col min="36" max="36" width="10.7109375" style="54" customWidth="1"/>
    <col min="37" max="40" width="10.7109375" style="29" customWidth="1"/>
    <col min="41" max="43" width="10.7109375" style="29" customWidth="1" outlineLevel="1"/>
    <col min="44" max="44" width="16.85546875" style="54" customWidth="1" outlineLevel="1"/>
    <col min="45" max="46" width="16.85546875" style="29" customWidth="1" outlineLevel="1"/>
    <col min="47" max="47" width="5.28515625" style="8" outlineLevel="1"/>
    <col min="48" max="50" width="13.42578125" style="23" bestFit="1" customWidth="1" outlineLevel="1"/>
    <col min="51" max="51" width="14.85546875" style="23" bestFit="1" customWidth="1" outlineLevel="1"/>
    <col min="52" max="53" width="14.5703125" style="23" bestFit="1" customWidth="1"/>
    <col min="54" max="54" width="13.5703125" style="23" bestFit="1" customWidth="1"/>
    <col min="55" max="57" width="13.5703125" style="16" bestFit="1" customWidth="1"/>
    <col min="58" max="62" width="12.42578125" style="16" bestFit="1" customWidth="1"/>
    <col min="63" max="74" width="10.42578125" style="16" bestFit="1" customWidth="1"/>
    <col min="75" max="95" width="11.42578125" style="16" bestFit="1" customWidth="1"/>
    <col min="96" max="99" width="12.42578125" style="10" bestFit="1" customWidth="1"/>
    <col min="100" max="133" width="10.42578125" style="10" bestFit="1" customWidth="1"/>
    <col min="134" max="16384" width="5.28515625" style="10"/>
  </cols>
  <sheetData>
    <row r="1" spans="1:99" ht="12" customHeight="1" x14ac:dyDescent="0.2">
      <c r="A1" s="33" t="s">
        <v>81</v>
      </c>
      <c r="B1" s="11" t="s">
        <v>0</v>
      </c>
      <c r="C1" s="11" t="s">
        <v>1</v>
      </c>
      <c r="D1" s="31" t="s">
        <v>2</v>
      </c>
      <c r="E1" s="40" t="s">
        <v>131</v>
      </c>
      <c r="F1" s="31" t="s">
        <v>6</v>
      </c>
      <c r="G1" s="31" t="s">
        <v>110</v>
      </c>
      <c r="H1" s="31" t="s">
        <v>1</v>
      </c>
      <c r="I1" s="31" t="s">
        <v>8</v>
      </c>
      <c r="J1" s="31" t="s">
        <v>7</v>
      </c>
      <c r="K1" s="31" t="s">
        <v>127</v>
      </c>
      <c r="L1" s="31" t="s">
        <v>122</v>
      </c>
      <c r="M1" s="31" t="s">
        <v>125</v>
      </c>
      <c r="N1" s="31" t="s">
        <v>123</v>
      </c>
      <c r="O1" s="31" t="s">
        <v>5</v>
      </c>
      <c r="P1" s="31" t="s">
        <v>126</v>
      </c>
      <c r="Q1" s="31" t="s">
        <v>3</v>
      </c>
      <c r="R1" s="31" t="s">
        <v>124</v>
      </c>
      <c r="S1" s="31" t="s">
        <v>4</v>
      </c>
      <c r="T1" s="31" t="s">
        <v>68</v>
      </c>
      <c r="U1" s="31" t="s">
        <v>165</v>
      </c>
      <c r="V1" s="31" t="s">
        <v>120</v>
      </c>
      <c r="W1" s="31" t="s">
        <v>121</v>
      </c>
      <c r="X1" s="31" t="s">
        <v>128</v>
      </c>
      <c r="Y1" s="40" t="s">
        <v>117</v>
      </c>
      <c r="Z1" s="31" t="s">
        <v>129</v>
      </c>
      <c r="AA1" s="31" t="s">
        <v>87</v>
      </c>
      <c r="AB1" s="31" t="s">
        <v>85</v>
      </c>
      <c r="AC1" s="31" t="s">
        <v>86</v>
      </c>
      <c r="AD1" s="31" t="s">
        <v>130</v>
      </c>
      <c r="AE1" s="31" t="s">
        <v>118</v>
      </c>
      <c r="AF1" s="44" t="s">
        <v>119</v>
      </c>
      <c r="AG1" s="27" t="s">
        <v>114</v>
      </c>
      <c r="AH1" s="4"/>
      <c r="AI1" s="58" t="s">
        <v>76</v>
      </c>
      <c r="AJ1" s="52" t="s">
        <v>74</v>
      </c>
      <c r="AK1" s="27" t="s">
        <v>9</v>
      </c>
      <c r="AL1" s="58" t="s">
        <v>77</v>
      </c>
      <c r="AM1" s="27" t="s">
        <v>10</v>
      </c>
      <c r="AN1" s="27" t="s">
        <v>11</v>
      </c>
      <c r="AO1" s="58" t="s">
        <v>162</v>
      </c>
      <c r="AP1" s="27" t="s">
        <v>80</v>
      </c>
      <c r="AQ1" s="58" t="s">
        <v>163</v>
      </c>
      <c r="AR1" s="52" t="s">
        <v>78</v>
      </c>
      <c r="AS1" s="58" t="s">
        <v>164</v>
      </c>
      <c r="AT1" s="27" t="s">
        <v>79</v>
      </c>
      <c r="AU1" s="4"/>
      <c r="AV1" s="7" t="s">
        <v>75</v>
      </c>
      <c r="AW1" s="7"/>
      <c r="AX1" s="7"/>
      <c r="AY1" s="7"/>
      <c r="AZ1" s="7"/>
      <c r="BA1" s="7"/>
      <c r="BB1" s="7"/>
      <c r="BC1" s="6"/>
      <c r="BD1" s="6"/>
      <c r="BE1" s="6"/>
      <c r="BF1" s="6"/>
      <c r="BG1" s="6"/>
      <c r="BH1" s="6"/>
      <c r="BI1" s="6"/>
      <c r="BJ1" s="6"/>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11"/>
      <c r="CS1" s="11"/>
      <c r="CT1" s="11"/>
      <c r="CU1" s="11"/>
    </row>
    <row r="2" spans="1:99" s="9" customFormat="1" ht="12" customHeight="1" x14ac:dyDescent="0.2">
      <c r="A2" s="37">
        <v>43509</v>
      </c>
      <c r="B2" s="1"/>
      <c r="C2" s="1"/>
      <c r="D2" s="32"/>
      <c r="E2" s="41"/>
      <c r="F2" s="32"/>
      <c r="G2" s="32"/>
      <c r="H2" s="32"/>
      <c r="I2" s="32"/>
      <c r="J2" s="32"/>
      <c r="K2" s="36"/>
      <c r="L2" s="36"/>
      <c r="M2" s="32"/>
      <c r="N2" s="32"/>
      <c r="O2" s="32"/>
      <c r="P2" s="32"/>
      <c r="Q2" s="32"/>
      <c r="R2" s="32"/>
      <c r="S2" s="32"/>
      <c r="T2" s="32"/>
      <c r="U2" s="32"/>
      <c r="V2" s="32"/>
      <c r="W2" s="32"/>
      <c r="X2" s="32"/>
      <c r="Y2" s="41"/>
      <c r="Z2" s="32"/>
      <c r="AA2" s="32"/>
      <c r="AB2" s="32"/>
      <c r="AC2" s="32"/>
      <c r="AD2" s="32"/>
      <c r="AE2" s="32"/>
      <c r="AF2" s="45"/>
      <c r="AG2" s="28"/>
      <c r="AH2" s="4"/>
      <c r="AI2" s="28"/>
      <c r="AJ2" s="51"/>
      <c r="AK2" s="28"/>
      <c r="AL2" s="28"/>
      <c r="AM2" s="28"/>
      <c r="AN2" s="28"/>
      <c r="AO2" s="28"/>
      <c r="AP2" s="28"/>
      <c r="AQ2" s="28"/>
      <c r="AR2" s="51"/>
      <c r="AS2" s="28"/>
      <c r="AT2" s="28"/>
      <c r="AU2" s="5"/>
      <c r="AV2" s="18">
        <v>30</v>
      </c>
      <c r="AW2" s="18">
        <f>60*20</f>
        <v>1200</v>
      </c>
      <c r="AX2" s="18">
        <f>60*90</f>
        <v>5400</v>
      </c>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1"/>
      <c r="CS2" s="1"/>
      <c r="CT2" s="1"/>
      <c r="CU2" s="1"/>
    </row>
    <row r="3" spans="1:99" s="9" customFormat="1" ht="12" customHeight="1" x14ac:dyDescent="0.2">
      <c r="A3" s="37">
        <v>43509</v>
      </c>
      <c r="B3" s="1" t="s">
        <v>69</v>
      </c>
      <c r="C3" s="1" t="s">
        <v>29</v>
      </c>
      <c r="D3" s="32">
        <v>1984</v>
      </c>
      <c r="E3" s="41">
        <v>2</v>
      </c>
      <c r="F3" s="32">
        <v>48</v>
      </c>
      <c r="G3" s="32">
        <v>48</v>
      </c>
      <c r="H3" s="32" t="s">
        <v>22</v>
      </c>
      <c r="I3" s="32"/>
      <c r="J3" s="32" t="s">
        <v>12</v>
      </c>
      <c r="K3" s="32">
        <f>IF(J3="syllables",1,IF(J3="trigrams",2,IF(J3="strings",3,IF(J3="visual array",4,IF(J3="characters",5,IF(J3="letters",6,IF(J3="free forms",7,IF(J3="odors",8,IF(J3="words",9,IF(J3="pictures",10,IF(J3="object pictures",11,IF(J3="faces",12,IF(J3="names",13,IF(J3="idioms",14,IF(J3="grades",15,IF(J3="syllable-digit pairs",16,IF(J3="trigram-word pairs",17,IF(J3="word-digit pairs",18,IF(J3="English-Swahili pairs",19,IF(J3="spatial position",20,IF(J3="word pairs",21,IF(J3="word triads",22,IF(J3="generated words",23,IF(J3="word definition pairs",24,IF(J3="math problems",25,IF(J3="famous faces",26,IF(J3="famous names",27,IF(J3="famous voices",28,IF(J3="television programs",29,IF(J3="race horses",30,IF(J3="new vocabulary",31,IF(J3="sentences",32,IF(J3="concepts",33,IF(J3="ad slides",34,IF(J3="scenes",35,IF(J3="famous scenes",36,IF(J3="poems",37,IF(J3="walk",38,IF(J3="faces and events",39,IF(J3="events and names",40,IF(J3="flashbulb",41,IF(J3="stories",42,IF(J3="course material",43,IF(J3="autobiographical",44,IF(J3="novels",45,IF(J3="public events",46,"99"))))))))))))))))))))))))))))))))))))))))))))))</f>
        <v>9</v>
      </c>
      <c r="L3" s="32">
        <f>IF(J3="syllables",1,IF(J3="trigrams",1,IF(J3="strings",1,IF(J3="visual array",1,IF(J3="characters",1,IF(J3="letters",1,IF(J3="free forms",1,IF(J3="odors",2,IF(J3="words",2,IF(J3="pictures",2,IF(J3="object pictures",2,IF(J3="faces",2,IF(J3="names",2,IF(J3="idioms","2",IF(J3="grades",2,IF(J3="syllable-digit pairs",3,IF(J3="trigram-word pairs",3,IF(J3="word-digit pairs",3,IF(J3="English-Swahili pairs",3,IF(J3="spatial position",3,IF(J3="word pairs",4,IF(J3="word triads",4,IF(J3="generated words",4,IF(J3="word definition pairs",4,IF(J3="math problems",4,IF(J3="famous faces",4,IF(J3="famous names",4,IF(J3="famous voices",4,IF(J3="television programs",4,IF(J3="race horses",4,IF(J3="new vocabulary",4,IF(J3="sentences",5,IF(J3="concepts",5,IF(J3="ad slides",5,IF(J3="scenes",5,IF(J3="famous scenes",5,IF(J3="poems",6,IF(J3="walk",6,IF(J3="faces and events",6,IF(J3="events and names",6,IF(J3="flashbulb",7,IF(J3="stories",7,IF(J3="course material",7,IF(J3="autobiographical",7,IF(J3="novels",7,IF(J3="public events",7,"99"))))))))))))))))))))))))))))))))))))))))))))))</f>
        <v>2</v>
      </c>
      <c r="M3" s="32">
        <v>1</v>
      </c>
      <c r="N3" s="32">
        <v>1</v>
      </c>
      <c r="O3" s="32">
        <v>0</v>
      </c>
      <c r="P3" s="32"/>
      <c r="Q3" s="32" t="s">
        <v>18</v>
      </c>
      <c r="R3" s="32">
        <f>IF(Q3="Free Recall",1,IF(Q3="Cued Recall",2,IF(Q3="Recognition",3,IF(Q3="Multiple Choice",4,IF(Q3="Savings",5,IF(Q3="Stem Completion",6,IF(Q3="Fragment Completion",7,IF(Q3="anagram solution",8,IF(Q3="Matching",9,IF(Q3="Problem Solving",10,"99"))))))))))</f>
        <v>3</v>
      </c>
      <c r="S3" s="31" t="s">
        <v>196</v>
      </c>
      <c r="T3" s="31" t="s">
        <v>132</v>
      </c>
      <c r="U3" s="32">
        <f>IF(T3="within",1,0)</f>
        <v>1</v>
      </c>
      <c r="V3" s="31">
        <v>20</v>
      </c>
      <c r="W3" s="32">
        <f>F3*V3</f>
        <v>960</v>
      </c>
      <c r="X3" s="32">
        <v>3</v>
      </c>
      <c r="Y3" s="41">
        <f>AV2</f>
        <v>30</v>
      </c>
      <c r="Z3" s="32" t="s">
        <v>30</v>
      </c>
      <c r="AA3" s="32">
        <v>5400</v>
      </c>
      <c r="AB3" s="32" t="str">
        <f>IF(AA3&lt;60,"1",IF(AA3&lt;=43200,"2",IF(AA3&lt;=777600,"3","4")))</f>
        <v>2</v>
      </c>
      <c r="AC3" s="28">
        <f>AVERAGE(AV2:DA2)</f>
        <v>2210</v>
      </c>
      <c r="AD3" s="32" t="str">
        <f>IF(AC3&lt;60,"1",IF(AC3&lt;=43200,"2",IF(AC3&lt;=777600,"3","4")))</f>
        <v>2</v>
      </c>
      <c r="AE3" s="41">
        <f>AA3-Y3</f>
        <v>5370</v>
      </c>
      <c r="AF3" s="45">
        <f>AV3</f>
        <v>1.4298103922061869</v>
      </c>
      <c r="AG3" s="28">
        <f>((AW3-AV3)+(AX3-AW3))/2</f>
        <v>-9.6774797070740437E-2</v>
      </c>
      <c r="AH3" s="4"/>
      <c r="AI3" s="28">
        <f>RSQ(AV3:AX3,AV2:AX2)</f>
        <v>0.89373372197962242</v>
      </c>
      <c r="AJ3" s="51">
        <f>SLOPE(AV3:AX3,AV2:AX2)</f>
        <v>-3.2402891110009627E-5</v>
      </c>
      <c r="AK3" s="28">
        <f>INTERCEPT(AV3:AX3,AV2:AX2)</f>
        <v>1.4036889181147139</v>
      </c>
      <c r="AL3" s="28">
        <f>INDEX(LINEST(LN(AV3:AX3),LN(AV2:AX2),TRUE,TRUE),3,1)</f>
        <v>0.94250149680783346</v>
      </c>
      <c r="AM3" s="28">
        <f>INDEX(LINEST(LN(AV3:AX3),LN(AV2:AX2)),1)</f>
        <v>-2.6423856011413897E-2</v>
      </c>
      <c r="AN3" s="28">
        <f>EXP(INDEX(LINEST(LN(AV3:AX3),LN(AV2:AX2)),1,2))</f>
        <v>1.573153355436701</v>
      </c>
      <c r="AO3" s="47">
        <f>INDEX(LINEST((AV3:AX3),LN(AV2:AX2),TRUE,TRUE),3,1)</f>
        <v>0.95187947550858654</v>
      </c>
      <c r="AP3" s="47">
        <f>INDEX(LINEST((AV3:AX3),LN(AV2:AX2)),1)</f>
        <v>-3.5341392562013366E-2</v>
      </c>
      <c r="AQ3" s="48">
        <f>INDEX(LINEST(LN(AV3:AX3),SQRT(AV2:AX2),TRUE,TRUE),3,1)</f>
        <v>0.99390726730509671</v>
      </c>
      <c r="AR3" s="56">
        <f>INDEX(LINEST(LN(AV3:AX3),SQRT((AV2:AX2))),1)</f>
        <v>-2.1250702968678365E-3</v>
      </c>
      <c r="AS3" s="49">
        <f>INDEX(LINEST(1/(AV3:AX3),1/(SQRT(AV2:AX2)),TRUE,TRUE),3,1)</f>
        <v>0.79754817111693621</v>
      </c>
      <c r="AT3" s="49">
        <f>INDEX(LINEST(1/(AV3:AX3),1/SQRT(AV2:AX2)),1)</f>
        <v>-0.52331438833955501</v>
      </c>
      <c r="AU3" s="3"/>
      <c r="AV3" s="25">
        <v>1.4298103922061869</v>
      </c>
      <c r="AW3" s="25">
        <v>1.3301643960138854</v>
      </c>
      <c r="AX3" s="25">
        <v>1.236260798064706</v>
      </c>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1"/>
      <c r="CS3" s="1"/>
      <c r="CT3" s="1"/>
      <c r="CU3" s="1"/>
    </row>
    <row r="4" spans="1:99" s="60" customFormat="1" ht="12" customHeight="1" x14ac:dyDescent="0.2">
      <c r="A4" s="94">
        <v>43509</v>
      </c>
      <c r="B4" s="101"/>
      <c r="C4" s="101"/>
      <c r="D4" s="77"/>
      <c r="E4" s="98"/>
      <c r="F4" s="77"/>
      <c r="G4" s="77"/>
      <c r="H4" s="77"/>
      <c r="I4" s="77"/>
      <c r="J4" s="77"/>
      <c r="K4" s="102"/>
      <c r="L4" s="102"/>
      <c r="M4" s="77"/>
      <c r="N4" s="77"/>
      <c r="O4" s="77"/>
      <c r="P4" s="77"/>
      <c r="Q4" s="77"/>
      <c r="R4" s="77"/>
      <c r="S4" s="77"/>
      <c r="T4" s="96"/>
      <c r="U4" s="32"/>
      <c r="V4" s="77"/>
      <c r="W4" s="77"/>
      <c r="X4" s="77"/>
      <c r="Y4" s="98"/>
      <c r="Z4" s="77"/>
      <c r="AA4" s="77"/>
      <c r="AB4" s="77"/>
      <c r="AC4" s="77"/>
      <c r="AD4" s="77"/>
      <c r="AE4" s="77"/>
      <c r="AF4" s="99"/>
      <c r="AG4" s="100"/>
      <c r="AH4" s="84"/>
      <c r="AI4" s="100"/>
      <c r="AJ4" s="105"/>
      <c r="AK4" s="100"/>
      <c r="AL4" s="100"/>
      <c r="AM4" s="100"/>
      <c r="AN4" s="100"/>
      <c r="AO4" s="100"/>
      <c r="AP4" s="100"/>
      <c r="AQ4" s="100"/>
      <c r="AR4" s="105"/>
      <c r="AS4" s="100"/>
      <c r="AT4" s="100"/>
      <c r="AU4" s="62"/>
      <c r="AV4" s="64">
        <f>60*0.9</f>
        <v>54</v>
      </c>
      <c r="AW4" s="64">
        <f>60*1.2</f>
        <v>72</v>
      </c>
      <c r="AX4" s="64">
        <f>60*1.75</f>
        <v>105</v>
      </c>
      <c r="AY4" s="64">
        <f>60*2.9</f>
        <v>174</v>
      </c>
      <c r="AZ4" s="64">
        <f>60*5.8</f>
        <v>348</v>
      </c>
      <c r="BA4" s="64">
        <f>60*11.7</f>
        <v>702</v>
      </c>
      <c r="BB4" s="65"/>
      <c r="BC4" s="65"/>
      <c r="BD4" s="65"/>
      <c r="BE4" s="65"/>
      <c r="BF4" s="65"/>
      <c r="BG4" s="65"/>
      <c r="BH4" s="65"/>
      <c r="BI4" s="65"/>
      <c r="BJ4" s="65"/>
      <c r="BK4" s="65"/>
      <c r="BL4" s="61"/>
      <c r="BM4" s="61"/>
      <c r="BN4" s="61"/>
      <c r="BO4" s="61"/>
      <c r="BP4" s="61"/>
      <c r="BQ4" s="61"/>
      <c r="BR4" s="61"/>
      <c r="BS4" s="61"/>
      <c r="BT4" s="61"/>
      <c r="BU4" s="61"/>
      <c r="BV4" s="61"/>
      <c r="BW4" s="61"/>
      <c r="BX4" s="61"/>
      <c r="BY4" s="61"/>
      <c r="BZ4" s="61"/>
      <c r="CA4" s="61"/>
      <c r="CB4" s="61"/>
      <c r="CC4" s="61"/>
      <c r="CD4" s="61"/>
      <c r="CE4" s="61"/>
      <c r="CF4" s="61"/>
      <c r="CG4" s="61"/>
      <c r="CH4" s="61"/>
      <c r="CI4" s="61"/>
      <c r="CJ4" s="61"/>
      <c r="CK4" s="61"/>
      <c r="CL4" s="61"/>
      <c r="CM4" s="61"/>
      <c r="CN4" s="61"/>
      <c r="CO4" s="61"/>
      <c r="CP4" s="61"/>
      <c r="CQ4" s="61"/>
      <c r="CR4" s="59"/>
      <c r="CS4" s="59"/>
      <c r="CT4" s="59"/>
      <c r="CU4" s="59"/>
    </row>
    <row r="5" spans="1:99" s="60" customFormat="1" ht="12" customHeight="1" x14ac:dyDescent="0.2">
      <c r="A5" s="94">
        <v>43509</v>
      </c>
      <c r="B5" s="101" t="s">
        <v>203</v>
      </c>
      <c r="C5" s="101" t="s">
        <v>204</v>
      </c>
      <c r="D5" s="77">
        <v>1972</v>
      </c>
      <c r="E5" s="98">
        <v>1</v>
      </c>
      <c r="F5" s="77">
        <v>17</v>
      </c>
      <c r="G5" s="77">
        <v>17</v>
      </c>
      <c r="H5" s="77" t="s">
        <v>28</v>
      </c>
      <c r="I5" s="77" t="s">
        <v>205</v>
      </c>
      <c r="J5" s="77" t="s">
        <v>12</v>
      </c>
      <c r="K5" s="77" t="str">
        <f>IF(J5="syllables","1",IF(J5="trigrams","2",IF(J5="strings","3",IF(J5="visual array","4",IF(J5="characters","5",IF(J5="letters","6",IF(J5="free forms","7",IF(J5="odors","8",IF(J5="words","9",IF(J5="pictures","10",IF(J5="object pictures","11",IF(J5="faces","12",IF(J5="names","13",IF(J5="idioms","14",IF(J5="grades","15",IF(J5="syllable-digit pairs","16",IF(J5="trigram-word pairs","17",IF(J5="word-digit pairs","18",IF(J5="English-Swahili pairs","19",IF(J5="spatial position","20",IF(J5="word pairs","21",IF(J5="word triads","22",IF(J5="generated words","23",IF(J5="word definition pairs","24",IF(J5="math problems","25",IF(J5="famous faces","26",IF(J5="famous names","27",IF(J5="famous voices","28",IF(J5="television programs","29",IF(J5="race horses","30",IF(J5="new vocabulary","31",IF(J5="sentences","32",IF(J5="concepts","33",IF(J5="ad slides","34",IF(J5="scenes","35",IF(J5="famous scenes","36",IF(J5="poems","37",IF(J5="walk","38",IF(J5="faces and events","39",IF(J5="events and names","40",IF(J5="flashbulb","41",IF(J5="stories","42",IF(J5="course material","43",IF(J5="autobiographical","44",IF(J5="novels","45",IF(J5="public events","46",IF(J5="order","90","99")))))))))))))))))))))))))))))))))))))))))))))))</f>
        <v>9</v>
      </c>
      <c r="L5" s="77" t="str">
        <f>IF(J5="syllables","1",IF(J5="trigrams","1",IF(J5="strings","1",IF(J5="visual array","1",IF(J5="characters","1",IF(J5="letters","1",IF(J5="free forms","1",IF(J5="odors","2",IF(J5="words","2",IF(J5="pictures","2",IF(J5="object pictures","2",IF(J5="faces","2",IF(J5="names","2",IF(J5="idioms","2",IF(J5="grades","2",IF(J5="syllable-digit pairs","3",IF(J5="trigram-word pairs","3",IF(J5="word-digit pairs","3",IF(J5="English-Swahili pairs","3",IF(J5="spatial position","3",IF(J5="word pairs","4",IF(J5="word triads","4",IF(J5="generated words","4",IF(J5="word definition pairs","4",IF(J5="math problems","4",IF(J5="famous faces","4",IF(J5="famous names","4",IF(J5="famous voices","4",IF(J5="television programs","4",IF(J5="race horses","4",IF(J5="new vocabulary","4",IF(J5="sentences","5",IF(J5="concepts","5",IF(J5="ad slides","5",IF(J5="scenes","5",IF(J5="famous scenes","5",IF(J5="poems","6",IF(J5="walk","6",IF(J5="faces and events","6",IF(J5="events and names","6",IF(J5="flashbulb","7",IF(J5="stories","7",IF(J5="course material","7",IF(J5="autobiographical","7",IF(J5="novels","7",IF(J5="public events","7",IF(J5="order","90","99")))))))))))))))))))))))))))))))))))))))))))))))</f>
        <v>2</v>
      </c>
      <c r="M5" s="77" t="s">
        <v>195</v>
      </c>
      <c r="N5" s="77">
        <v>1</v>
      </c>
      <c r="O5" s="77" t="s">
        <v>195</v>
      </c>
      <c r="P5" s="77"/>
      <c r="Q5" s="77" t="s">
        <v>18</v>
      </c>
      <c r="R5" s="77" t="str">
        <f>IF(Q5="Free Recall","1",IF(Q5="Cued Recall","2",IF(Q5="Recognition","3",IF(Q5="Multiple Choice","4",IF(Q5="Savings","5",IF(Q5="Stem Completion","6",IF(Q5="Fragment Completion","7",IF(Q5="anagram solution","8",IF(Q5="Matching","9",IF(Q5="Problem Solving","10","99"))))))))))</f>
        <v>3</v>
      </c>
      <c r="S5" s="77" t="s">
        <v>196</v>
      </c>
      <c r="T5" s="96" t="s">
        <v>132</v>
      </c>
      <c r="U5" s="32">
        <f>IF(T5="within",1,0)</f>
        <v>1</v>
      </c>
      <c r="V5" s="96">
        <v>400</v>
      </c>
      <c r="W5" s="77">
        <f>F5*V5</f>
        <v>6800</v>
      </c>
      <c r="X5" s="77">
        <v>6</v>
      </c>
      <c r="Y5" s="98">
        <f>AV4</f>
        <v>54</v>
      </c>
      <c r="Z5" s="77" t="s">
        <v>206</v>
      </c>
      <c r="AA5" s="77">
        <v>702</v>
      </c>
      <c r="AB5" s="77" t="str">
        <f>IF(AA5&lt;60,"1",IF(AA5&lt;=43200,"2",IF(AA5&lt;=777600,"3","4")))</f>
        <v>2</v>
      </c>
      <c r="AC5" s="100">
        <f>AVERAGE(AV4:DA4)</f>
        <v>242.5</v>
      </c>
      <c r="AD5" s="77" t="str">
        <f>IF(AC5&lt;60,"1",IF(AC5&lt;=43200,"2",IF(AC5&lt;=777600,"3","4")))</f>
        <v>2</v>
      </c>
      <c r="AE5" s="98">
        <f>AA5-Y5</f>
        <v>648</v>
      </c>
      <c r="AF5" s="99">
        <f>AV5</f>
        <v>3.34</v>
      </c>
      <c r="AG5" s="100">
        <f>((AW5-AV5)+(AX5-AW5)+(AY5-AX5)+(AZ5-AY5)+(BA5-AZ5))/5</f>
        <v>-0.26200000000000001</v>
      </c>
      <c r="AH5" s="84"/>
      <c r="AI5" s="100">
        <f>RSQ(AV5:BA5,AV4:BA4)</f>
        <v>0.79026948411098474</v>
      </c>
      <c r="AJ5" s="105">
        <f>SLOPE(AV5:BA5,AV4:BA4)</f>
        <v>-2.3807338193682836E-3</v>
      </c>
      <c r="AK5" s="100">
        <f>INTERCEPT(AV5:BA5,AV4:BA4)</f>
        <v>3.5139946178634749</v>
      </c>
      <c r="AL5" s="100">
        <f>INDEX(LINEST(LN(AV5:BA5),LN(AV4:BA4),TRUE,TRUE),3,1)</f>
        <v>0.91911234561509469</v>
      </c>
      <c r="AM5" s="100">
        <f>INDEX(LINEST(LN(AV5:BA5),LN(AV4:BA4)),1)</f>
        <v>-0.231605695561754</v>
      </c>
      <c r="AN5" s="100">
        <f>EXP(INDEX(LINEST(LN(AV5:BA5),LN(AV4:BA4)),1,2))</f>
        <v>9.3124945713252849</v>
      </c>
      <c r="AO5" s="104">
        <f>INDEX(LINEST((AV5:BA5),LN(AV4:BA4),TRUE,TRUE),3,1)</f>
        <v>0.88443178338309869</v>
      </c>
      <c r="AP5" s="104">
        <f>INDEX(LINEST((AV5:BA5),LN(AV4:BA4)),1)</f>
        <v>-0.64106064784881411</v>
      </c>
      <c r="AQ5" s="48">
        <f>INDEX(LINEST(LN(AV5:BA5),SQRT(AV4:BA4),TRUE,TRUE),3,1)</f>
        <v>0.91556258880790453</v>
      </c>
      <c r="AR5" s="56">
        <f>INDEX(LINEST(LN(AV5:BA5),SQRT((AV4:BA4))),1)</f>
        <v>-3.0959002677644627E-2</v>
      </c>
      <c r="AS5" s="49">
        <f>INDEX(LINEST(1/(AV5:BA5),1/(SQRT(AV4:BA4)),TRUE,TRUE),3,1)</f>
        <v>0.85207505114761961</v>
      </c>
      <c r="AT5" s="49">
        <f>INDEX(LINEST(1/(AV5:BA5),1/SQRT(AV4:BA4)),1)</f>
        <v>-2.1227007684645618</v>
      </c>
      <c r="AU5" s="63"/>
      <c r="AV5" s="65">
        <v>3.34</v>
      </c>
      <c r="AW5" s="65">
        <v>3.85</v>
      </c>
      <c r="AX5" s="65">
        <v>3.18</v>
      </c>
      <c r="AY5" s="65">
        <v>2.87</v>
      </c>
      <c r="AZ5" s="65">
        <v>2.35</v>
      </c>
      <c r="BA5" s="65">
        <v>2.0299999999999998</v>
      </c>
      <c r="BB5" s="65"/>
      <c r="BC5" s="65"/>
      <c r="BD5" s="65"/>
      <c r="BE5" s="65"/>
      <c r="BF5" s="65"/>
      <c r="BG5" s="65"/>
      <c r="BH5" s="65"/>
      <c r="BI5" s="65"/>
      <c r="BJ5" s="65"/>
      <c r="BK5" s="65"/>
      <c r="BL5" s="61"/>
      <c r="BM5" s="61"/>
      <c r="BN5" s="61"/>
      <c r="BO5" s="61"/>
      <c r="BP5" s="61"/>
      <c r="BQ5" s="61"/>
      <c r="BR5" s="61"/>
      <c r="BS5" s="61"/>
      <c r="BT5" s="61"/>
      <c r="BU5" s="61"/>
      <c r="BV5" s="61"/>
      <c r="BW5" s="61"/>
      <c r="BX5" s="61"/>
      <c r="BY5" s="61"/>
      <c r="BZ5" s="61"/>
      <c r="CA5" s="61"/>
      <c r="CB5" s="61"/>
      <c r="CC5" s="61"/>
      <c r="CD5" s="61"/>
      <c r="CE5" s="61"/>
      <c r="CF5" s="61"/>
      <c r="CG5" s="61"/>
      <c r="CH5" s="61"/>
      <c r="CI5" s="61"/>
      <c r="CJ5" s="61"/>
      <c r="CK5" s="61"/>
      <c r="CL5" s="61"/>
      <c r="CM5" s="61"/>
      <c r="CN5" s="61"/>
      <c r="CO5" s="61"/>
      <c r="CP5" s="61"/>
      <c r="CQ5" s="61"/>
      <c r="CR5" s="59"/>
      <c r="CS5" s="59"/>
      <c r="CT5" s="59"/>
      <c r="CU5" s="59"/>
    </row>
    <row r="6" spans="1:99" s="60" customFormat="1" ht="12" customHeight="1" x14ac:dyDescent="0.2">
      <c r="A6" s="94">
        <v>43509</v>
      </c>
      <c r="B6" s="101"/>
      <c r="C6" s="101"/>
      <c r="D6" s="77"/>
      <c r="E6" s="98"/>
      <c r="F6" s="77"/>
      <c r="G6" s="77"/>
      <c r="H6" s="77"/>
      <c r="I6" s="77"/>
      <c r="J6" s="77"/>
      <c r="K6" s="102"/>
      <c r="L6" s="102"/>
      <c r="M6" s="77"/>
      <c r="N6" s="77"/>
      <c r="O6" s="77"/>
      <c r="P6" s="77"/>
      <c r="Q6" s="77"/>
      <c r="R6" s="77"/>
      <c r="S6" s="77"/>
      <c r="T6" s="96"/>
      <c r="U6" s="32"/>
      <c r="V6" s="77"/>
      <c r="W6" s="77"/>
      <c r="X6" s="77"/>
      <c r="Y6" s="98"/>
      <c r="Z6" s="77"/>
      <c r="AA6" s="77"/>
      <c r="AB6" s="77"/>
      <c r="AC6" s="77"/>
      <c r="AD6" s="77"/>
      <c r="AE6" s="77"/>
      <c r="AF6" s="99"/>
      <c r="AG6" s="100"/>
      <c r="AH6" s="84"/>
      <c r="AI6" s="100"/>
      <c r="AJ6" s="105"/>
      <c r="AK6" s="100"/>
      <c r="AL6" s="100"/>
      <c r="AM6" s="100"/>
      <c r="AN6" s="100"/>
      <c r="AO6" s="100"/>
      <c r="AP6" s="100"/>
      <c r="AQ6" s="100"/>
      <c r="AR6" s="105"/>
      <c r="AS6" s="100"/>
      <c r="AT6" s="100"/>
      <c r="AU6" s="62"/>
      <c r="AV6" s="64">
        <f>60*0.9</f>
        <v>54</v>
      </c>
      <c r="AW6" s="64">
        <f>60*1.2</f>
        <v>72</v>
      </c>
      <c r="AX6" s="64">
        <f>60*1.75</f>
        <v>105</v>
      </c>
      <c r="AY6" s="64">
        <f>60*2.9</f>
        <v>174</v>
      </c>
      <c r="AZ6" s="64">
        <f>60*5.8</f>
        <v>348</v>
      </c>
      <c r="BA6" s="64">
        <f>60*11.7</f>
        <v>702</v>
      </c>
      <c r="BB6" s="65"/>
      <c r="BC6" s="65"/>
      <c r="BD6" s="65"/>
      <c r="BE6" s="65"/>
      <c r="BF6" s="65"/>
      <c r="BG6" s="65"/>
      <c r="BH6" s="65"/>
      <c r="BI6" s="65"/>
      <c r="BJ6" s="65"/>
      <c r="BK6" s="65"/>
      <c r="BL6" s="61"/>
      <c r="BM6" s="61"/>
      <c r="BN6" s="61"/>
      <c r="BO6" s="61"/>
      <c r="BP6" s="61"/>
      <c r="BQ6" s="61"/>
      <c r="BR6" s="61"/>
      <c r="BS6" s="61"/>
      <c r="BT6" s="61"/>
      <c r="BU6" s="61"/>
      <c r="BV6" s="61"/>
      <c r="BW6" s="61"/>
      <c r="BX6" s="61"/>
      <c r="BY6" s="61"/>
      <c r="BZ6" s="61"/>
      <c r="CA6" s="61"/>
      <c r="CB6" s="61"/>
      <c r="CC6" s="61"/>
      <c r="CD6" s="61"/>
      <c r="CE6" s="61"/>
      <c r="CF6" s="61"/>
      <c r="CG6" s="61"/>
      <c r="CH6" s="61"/>
      <c r="CI6" s="61"/>
      <c r="CJ6" s="61"/>
      <c r="CK6" s="61"/>
      <c r="CL6" s="61"/>
      <c r="CM6" s="61"/>
      <c r="CN6" s="61"/>
      <c r="CO6" s="61"/>
      <c r="CP6" s="61"/>
      <c r="CQ6" s="61"/>
      <c r="CR6" s="59"/>
      <c r="CS6" s="59"/>
      <c r="CT6" s="59"/>
      <c r="CU6" s="59"/>
    </row>
    <row r="7" spans="1:99" s="60" customFormat="1" ht="12" customHeight="1" x14ac:dyDescent="0.2">
      <c r="A7" s="94">
        <v>43509</v>
      </c>
      <c r="B7" s="101" t="s">
        <v>203</v>
      </c>
      <c r="C7" s="101" t="s">
        <v>204</v>
      </c>
      <c r="D7" s="77">
        <v>1972</v>
      </c>
      <c r="E7" s="98">
        <v>1</v>
      </c>
      <c r="F7" s="77">
        <v>17</v>
      </c>
      <c r="G7" s="77">
        <v>17</v>
      </c>
      <c r="H7" s="77" t="s">
        <v>28</v>
      </c>
      <c r="I7" s="77" t="s">
        <v>205</v>
      </c>
      <c r="J7" s="77" t="s">
        <v>157</v>
      </c>
      <c r="K7" s="77" t="str">
        <f>IF(J7="syllables","1",IF(J7="trigrams","2",IF(J7="strings","3",IF(J7="visual array","4",IF(J7="characters","5",IF(J7="letters","6",IF(J7="free forms","7",IF(J7="odors","8",IF(J7="words","9",IF(J7="pictures","10",IF(J7="object pictures","11",IF(J7="faces","12",IF(J7="names","13",IF(J7="idioms","14",IF(J7="grades","15",IF(J7="syllable-digit pairs","16",IF(J7="trigram-word pairs","17",IF(J7="word-digit pairs","18",IF(J7="English-Swahili pairs","19",IF(J7="spatial position","20",IF(J7="word pairs","21",IF(J7="word triads","22",IF(J7="generated words","23",IF(J7="word definition pairs","24",IF(J7="math problems","25",IF(J7="famous faces","26",IF(J7="famous names","27",IF(J7="famous voices","28",IF(J7="television programs","29",IF(J7="race horses","30",IF(J7="new vocabulary","31",IF(J7="sentences","32",IF(J7="concepts","33",IF(J7="ad slides","34",IF(J7="scenes","35",IF(J7="famous scenes","36",IF(J7="poems","37",IF(J7="walk","38",IF(J7="faces and events","39",IF(J7="events and names","40",IF(J7="flashbulb","41",IF(J7="stories","42",IF(J7="course material","43",IF(J7="autobiographical","44",IF(J7="novels","45",IF(J7="public events","46",IF(J7="order","90","99")))))))))))))))))))))))))))))))))))))))))))))))</f>
        <v>3</v>
      </c>
      <c r="L7" s="77" t="str">
        <f>IF(J7="syllables","1",IF(J7="trigrams","1",IF(J7="strings","1",IF(J7="visual array","1",IF(J7="characters","1",IF(J7="letters","1",IF(J7="free forms","1",IF(J7="odors","2",IF(J7="words","2",IF(J7="pictures","2",IF(J7="object pictures","2",IF(J7="faces","2",IF(J7="names","2",IF(J7="idioms","2",IF(J7="grades","2",IF(J7="syllable-digit pairs","3",IF(J7="trigram-word pairs","3",IF(J7="word-digit pairs","3",IF(J7="English-Swahili pairs","3",IF(J7="spatial position","3",IF(J7="word pairs","4",IF(J7="word triads","4",IF(J7="generated words","4",IF(J7="word definition pairs","4",IF(J7="math problems","4",IF(J7="famous faces","4",IF(J7="famous names","4",IF(J7="famous voices","4",IF(J7="television programs","4",IF(J7="race horses","4",IF(J7="new vocabulary","4",IF(J7="sentences","5",IF(J7="concepts","5",IF(J7="ad slides","5",IF(J7="scenes","5",IF(J7="famous scenes","5",IF(J7="poems","6",IF(J7="walk","6",IF(J7="faces and events","6",IF(J7="events and names","6",IF(J7="flashbulb","7",IF(J7="stories","7",IF(J7="course material","7",IF(J7="autobiographical","7",IF(J7="novels","7",IF(J7="public events","7",IF(J7="order","90","99")))))))))))))))))))))))))))))))))))))))))))))))</f>
        <v>1</v>
      </c>
      <c r="M7" s="77" t="s">
        <v>195</v>
      </c>
      <c r="N7" s="77">
        <v>1</v>
      </c>
      <c r="O7" s="77" t="s">
        <v>195</v>
      </c>
      <c r="P7" s="77"/>
      <c r="Q7" s="77" t="s">
        <v>18</v>
      </c>
      <c r="R7" s="77" t="str">
        <f>IF(Q7="Free Recall","1",IF(Q7="Cued Recall","2",IF(Q7="Recognition","3",IF(Q7="Multiple Choice","4",IF(Q7="Savings","5",IF(Q7="Stem Completion","6",IF(Q7="Fragment Completion","7",IF(Q7="anagram solution","8",IF(Q7="Matching","9",IF(Q7="Problem Solving","10","99"))))))))))</f>
        <v>3</v>
      </c>
      <c r="S7" s="77" t="s">
        <v>196</v>
      </c>
      <c r="T7" s="96" t="s">
        <v>132</v>
      </c>
      <c r="U7" s="32">
        <f>IF(T7="within",1,0)</f>
        <v>1</v>
      </c>
      <c r="V7" s="96">
        <v>400</v>
      </c>
      <c r="W7" s="77">
        <f>F7*V7</f>
        <v>6800</v>
      </c>
      <c r="X7" s="77">
        <v>6</v>
      </c>
      <c r="Y7" s="98">
        <f>AV6</f>
        <v>54</v>
      </c>
      <c r="Z7" s="77" t="s">
        <v>206</v>
      </c>
      <c r="AA7" s="77">
        <v>702</v>
      </c>
      <c r="AB7" s="77" t="str">
        <f>IF(AA7&lt;60,"1",IF(AA7&lt;=43200,"2",IF(AA7&lt;=777600,"3","4")))</f>
        <v>2</v>
      </c>
      <c r="AC7" s="100">
        <f>AVERAGE(AV6:DA6)</f>
        <v>242.5</v>
      </c>
      <c r="AD7" s="77" t="str">
        <f>IF(AC7&lt;60,"1",IF(AC7&lt;=43200,"2",IF(AC7&lt;=777600,"3","4")))</f>
        <v>2</v>
      </c>
      <c r="AE7" s="98">
        <f>AA7-Y7</f>
        <v>648</v>
      </c>
      <c r="AF7" s="99">
        <f>AV7</f>
        <v>1.42</v>
      </c>
      <c r="AG7" s="100">
        <f>((AW7-AV7)+(AX7-AW7)+(AY7-AX7)+(AZ7-AY7)+(BA7-AZ7))/5</f>
        <v>-0.182</v>
      </c>
      <c r="AH7" s="84"/>
      <c r="AI7" s="100">
        <f>RSQ(AV7:BA7,AV6:BA6)</f>
        <v>0.7465769949128177</v>
      </c>
      <c r="AJ7" s="105">
        <f>SLOPE(AV7:BA7,AV6:BA6)</f>
        <v>-1.2319327216829886E-3</v>
      </c>
      <c r="AK7" s="100">
        <f>INTERCEPT(AV7:BA7,AV6:BA6)</f>
        <v>1.2854103516747915</v>
      </c>
      <c r="AL7" s="100">
        <f>INDEX(LINEST(LN(AV7:BA7),LN(AV6:BA6),TRUE,TRUE),3,1)</f>
        <v>0.94808697836400802</v>
      </c>
      <c r="AM7" s="100">
        <f>INDEX(LINEST(LN(AV7:BA7),LN(AV6:BA6)),1)</f>
        <v>-0.38727369123979294</v>
      </c>
      <c r="AN7" s="100">
        <f>EXP(INDEX(LINEST(LN(AV7:BA7),LN(AV6:BA6)),1,2))</f>
        <v>6.6490460975189292</v>
      </c>
      <c r="AO7" s="104">
        <f>INDEX(LINEST((AV7:BA7),LN(AV6:BA6),TRUE,TRUE),3,1)</f>
        <v>0.92803959010451431</v>
      </c>
      <c r="AP7" s="104">
        <f>INDEX(LINEST((AV7:BA7),LN(AV6:BA6)),1)</f>
        <v>-0.34960420941466741</v>
      </c>
      <c r="AQ7" s="48">
        <f>INDEX(LINEST(LN(AV7:BA7),SQRT(AV6:BA6),TRUE,TRUE),3,1)</f>
        <v>0.91336661268786656</v>
      </c>
      <c r="AR7" s="56">
        <f>INDEX(LINEST(LN(AV7:BA7),SQRT((AV6:BA6))),1)</f>
        <v>-5.0908989572750883E-2</v>
      </c>
      <c r="AS7" s="49">
        <f>INDEX(LINEST(1/(AV7:BA7),1/(SQRT(AV6:BA6)),TRUE,TRUE),3,1)</f>
        <v>0.86190352455431352</v>
      </c>
      <c r="AT7" s="49">
        <f>INDEX(LINEST(1/(AV7:BA7),1/SQRT(AV6:BA6)),1)</f>
        <v>-11.5640971813334</v>
      </c>
      <c r="AU7" s="63"/>
      <c r="AV7" s="65">
        <v>1.42</v>
      </c>
      <c r="AW7" s="65">
        <v>1.33</v>
      </c>
      <c r="AX7" s="65">
        <v>1.1000000000000001</v>
      </c>
      <c r="AY7" s="65">
        <v>0.78</v>
      </c>
      <c r="AZ7" s="65">
        <v>0.78</v>
      </c>
      <c r="BA7" s="65">
        <v>0.51</v>
      </c>
      <c r="BB7" s="65"/>
      <c r="BC7" s="65"/>
      <c r="BD7" s="65"/>
      <c r="BE7" s="65"/>
      <c r="BF7" s="65"/>
      <c r="BG7" s="65"/>
      <c r="BH7" s="65"/>
      <c r="BI7" s="65"/>
      <c r="BJ7" s="65"/>
      <c r="BK7" s="65"/>
      <c r="BL7" s="61"/>
      <c r="BM7" s="61"/>
      <c r="BN7" s="61"/>
      <c r="BO7" s="61"/>
      <c r="BP7" s="61"/>
      <c r="BQ7" s="61"/>
      <c r="BR7" s="61"/>
      <c r="BS7" s="61"/>
      <c r="BT7" s="61"/>
      <c r="BU7" s="61"/>
      <c r="BV7" s="61"/>
      <c r="BW7" s="61"/>
      <c r="BX7" s="61"/>
      <c r="BY7" s="61"/>
      <c r="BZ7" s="61"/>
      <c r="CA7" s="61"/>
      <c r="CB7" s="61"/>
      <c r="CC7" s="61"/>
      <c r="CD7" s="61"/>
      <c r="CE7" s="61"/>
      <c r="CF7" s="61"/>
      <c r="CG7" s="61"/>
      <c r="CH7" s="61"/>
      <c r="CI7" s="61"/>
      <c r="CJ7" s="61"/>
      <c r="CK7" s="61"/>
      <c r="CL7" s="61"/>
      <c r="CM7" s="61"/>
      <c r="CN7" s="61"/>
      <c r="CO7" s="61"/>
      <c r="CP7" s="61"/>
      <c r="CQ7" s="61"/>
      <c r="CR7" s="59"/>
      <c r="CS7" s="59"/>
      <c r="CT7" s="59"/>
      <c r="CU7" s="59"/>
    </row>
    <row r="8" spans="1:99" s="60" customFormat="1" ht="12" customHeight="1" x14ac:dyDescent="0.2">
      <c r="A8" s="94">
        <v>43509</v>
      </c>
      <c r="B8" s="101"/>
      <c r="C8" s="101"/>
      <c r="D8" s="77"/>
      <c r="E8" s="98"/>
      <c r="F8" s="77"/>
      <c r="G8" s="77"/>
      <c r="H8" s="77"/>
      <c r="I8" s="77"/>
      <c r="J8" s="77"/>
      <c r="K8" s="102"/>
      <c r="L8" s="102"/>
      <c r="M8" s="77"/>
      <c r="N8" s="77"/>
      <c r="O8" s="77"/>
      <c r="P8" s="77"/>
      <c r="Q8" s="77"/>
      <c r="R8" s="77"/>
      <c r="S8" s="77"/>
      <c r="T8" s="96"/>
      <c r="U8" s="32"/>
      <c r="V8" s="77"/>
      <c r="W8" s="77"/>
      <c r="X8" s="77"/>
      <c r="Y8" s="98"/>
      <c r="Z8" s="77"/>
      <c r="AA8" s="77"/>
      <c r="AB8" s="77"/>
      <c r="AC8" s="77"/>
      <c r="AD8" s="77"/>
      <c r="AE8" s="77"/>
      <c r="AF8" s="99"/>
      <c r="AG8" s="100"/>
      <c r="AH8" s="84"/>
      <c r="AI8" s="100"/>
      <c r="AJ8" s="105"/>
      <c r="AK8" s="100"/>
      <c r="AL8" s="100"/>
      <c r="AM8" s="100"/>
      <c r="AN8" s="100"/>
      <c r="AO8" s="100"/>
      <c r="AP8" s="100"/>
      <c r="AQ8" s="100"/>
      <c r="AR8" s="105"/>
      <c r="AS8" s="100"/>
      <c r="AT8" s="100"/>
      <c r="AU8" s="62"/>
      <c r="AV8" s="64">
        <f>60*0.9</f>
        <v>54</v>
      </c>
      <c r="AW8" s="64">
        <f>60*1.2</f>
        <v>72</v>
      </c>
      <c r="AX8" s="64">
        <f>60*1.75</f>
        <v>105</v>
      </c>
      <c r="AY8" s="64">
        <f>60*2.3</f>
        <v>138</v>
      </c>
      <c r="AZ8" s="64">
        <f>60*3.5</f>
        <v>210</v>
      </c>
      <c r="BA8" s="64">
        <f>60*5.8</f>
        <v>348</v>
      </c>
      <c r="BB8" s="64">
        <f>60*11.7</f>
        <v>702</v>
      </c>
      <c r="BC8" s="64">
        <f>60*23.3</f>
        <v>1398</v>
      </c>
      <c r="BD8" s="65"/>
      <c r="BE8" s="65"/>
      <c r="BF8" s="65"/>
      <c r="BG8" s="65"/>
      <c r="BH8" s="65"/>
      <c r="BI8" s="65"/>
      <c r="BJ8" s="65"/>
      <c r="BK8" s="65"/>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1"/>
      <c r="CM8" s="61"/>
      <c r="CN8" s="61"/>
      <c r="CO8" s="61"/>
      <c r="CP8" s="61"/>
      <c r="CQ8" s="61"/>
      <c r="CR8" s="59"/>
      <c r="CS8" s="59"/>
      <c r="CT8" s="59"/>
      <c r="CU8" s="59"/>
    </row>
    <row r="9" spans="1:99" s="60" customFormat="1" ht="12" customHeight="1" x14ac:dyDescent="0.2">
      <c r="A9" s="94">
        <v>43509</v>
      </c>
      <c r="B9" s="101" t="s">
        <v>203</v>
      </c>
      <c r="C9" s="101" t="s">
        <v>204</v>
      </c>
      <c r="D9" s="77">
        <v>1972</v>
      </c>
      <c r="E9" s="98">
        <v>1</v>
      </c>
      <c r="F9" s="77">
        <v>17</v>
      </c>
      <c r="G9" s="77">
        <v>17</v>
      </c>
      <c r="H9" s="77" t="s">
        <v>28</v>
      </c>
      <c r="I9" s="77" t="s">
        <v>207</v>
      </c>
      <c r="J9" s="77" t="s">
        <v>12</v>
      </c>
      <c r="K9" s="77" t="str">
        <f>IF(J9="syllables","1",IF(J9="trigrams","2",IF(J9="strings","3",IF(J9="visual array","4",IF(J9="characters","5",IF(J9="letters","6",IF(J9="free forms","7",IF(J9="odors","8",IF(J9="words","9",IF(J9="pictures","10",IF(J9="object pictures","11",IF(J9="faces","12",IF(J9="names","13",IF(J9="idioms","14",IF(J9="grades","15",IF(J9="syllable-digit pairs","16",IF(J9="trigram-word pairs","17",IF(J9="word-digit pairs","18",IF(J9="English-Swahili pairs","19",IF(J9="spatial position","20",IF(J9="word pairs","21",IF(J9="word triads","22",IF(J9="generated words","23",IF(J9="word definition pairs","24",IF(J9="math problems","25",IF(J9="famous faces","26",IF(J9="famous names","27",IF(J9="famous voices","28",IF(J9="television programs","29",IF(J9="race horses","30",IF(J9="new vocabulary","31",IF(J9="sentences","32",IF(J9="concepts","33",IF(J9="ad slides","34",IF(J9="scenes","35",IF(J9="famous scenes","36",IF(J9="poems","37",IF(J9="walk","38",IF(J9="faces and events","39",IF(J9="events and names","40",IF(J9="flashbulb","41",IF(J9="stories","42",IF(J9="course material","43",IF(J9="autobiographical","44",IF(J9="novels","45",IF(J9="public events","46",IF(J9="order","90","99")))))))))))))))))))))))))))))))))))))))))))))))</f>
        <v>9</v>
      </c>
      <c r="L9" s="77" t="str">
        <f>IF(J9="syllables","1",IF(J9="trigrams","1",IF(J9="strings","1",IF(J9="visual array","1",IF(J9="characters","1",IF(J9="letters","1",IF(J9="free forms","1",IF(J9="odors","2",IF(J9="words","2",IF(J9="pictures","2",IF(J9="object pictures","2",IF(J9="faces","2",IF(J9="names","2",IF(J9="idioms","2",IF(J9="grades","2",IF(J9="syllable-digit pairs","3",IF(J9="trigram-word pairs","3",IF(J9="word-digit pairs","3",IF(J9="English-Swahili pairs","3",IF(J9="spatial position","3",IF(J9="word pairs","4",IF(J9="word triads","4",IF(J9="generated words","4",IF(J9="word definition pairs","4",IF(J9="math problems","4",IF(J9="famous faces","4",IF(J9="famous names","4",IF(J9="famous voices","4",IF(J9="television programs","4",IF(J9="race horses","4",IF(J9="new vocabulary","4",IF(J9="sentences","5",IF(J9="concepts","5",IF(J9="ad slides","5",IF(J9="scenes","5",IF(J9="famous scenes","5",IF(J9="poems","6",IF(J9="walk","6",IF(J9="faces and events","6",IF(J9="events and names","6",IF(J9="flashbulb","7",IF(J9="stories","7",IF(J9="course material","7",IF(J9="autobiographical","7",IF(J9="novels","7",IF(J9="public events","7",IF(J9="order","90","99")))))))))))))))))))))))))))))))))))))))))))))))</f>
        <v>2</v>
      </c>
      <c r="M9" s="77" t="s">
        <v>195</v>
      </c>
      <c r="N9" s="77">
        <v>1</v>
      </c>
      <c r="O9" s="77" t="s">
        <v>195</v>
      </c>
      <c r="P9" s="77"/>
      <c r="Q9" s="77" t="s">
        <v>18</v>
      </c>
      <c r="R9" s="77" t="str">
        <f>IF(Q9="Free Recall","1",IF(Q9="Cued Recall","2",IF(Q9="Recognition","3",IF(Q9="Multiple Choice","4",IF(Q9="Savings","5",IF(Q9="Stem Completion","6",IF(Q9="Fragment Completion","7",IF(Q9="anagram solution","8",IF(Q9="Matching","9",IF(Q9="Problem Solving","10","99"))))))))))</f>
        <v>3</v>
      </c>
      <c r="S9" s="77" t="s">
        <v>196</v>
      </c>
      <c r="T9" s="96" t="s">
        <v>132</v>
      </c>
      <c r="U9" s="32">
        <f>IF(T9="within",1,0)</f>
        <v>1</v>
      </c>
      <c r="V9" s="96">
        <v>400</v>
      </c>
      <c r="W9" s="77">
        <f>F9*V9</f>
        <v>6800</v>
      </c>
      <c r="X9" s="77">
        <v>8</v>
      </c>
      <c r="Y9" s="98">
        <f>AV8</f>
        <v>54</v>
      </c>
      <c r="Z9" s="77" t="s">
        <v>208</v>
      </c>
      <c r="AA9" s="77">
        <v>1398</v>
      </c>
      <c r="AB9" s="77" t="str">
        <f>IF(AA9&lt;60,"1",IF(AA9&lt;=43200,"2",IF(AA9&lt;=777600,"3","4")))</f>
        <v>2</v>
      </c>
      <c r="AC9" s="100">
        <f>AVERAGE(AV8:DA8)</f>
        <v>378.375</v>
      </c>
      <c r="AD9" s="77" t="str">
        <f>IF(AC9&lt;60,"1",IF(AC9&lt;=43200,"2",IF(AC9&lt;=777600,"3","4")))</f>
        <v>2</v>
      </c>
      <c r="AE9" s="98">
        <f>AA9-Y9</f>
        <v>1344</v>
      </c>
      <c r="AF9" s="99">
        <f>AV9</f>
        <v>4.37</v>
      </c>
      <c r="AG9" s="100">
        <f>((AW9-AV9)+(AX9-AW9)+(AY9-AX9)+(AZ9-AY9)+(BA9-AZ9)+(BB9-BA9)+(BC9-BB9))/7</f>
        <v>-0.21428571428571427</v>
      </c>
      <c r="AH9" s="84"/>
      <c r="AI9" s="100">
        <f>RSQ(AV9:BC9,AV8:BC8)</f>
        <v>0.67973003866284976</v>
      </c>
      <c r="AJ9" s="105">
        <f>SLOPE(AV9:BC9,AV8:BC8)</f>
        <v>-1.0086515280496406E-3</v>
      </c>
      <c r="AK9" s="100">
        <f>INTERCEPT(AV9:BC9,AV8:BC8)</f>
        <v>3.9791485219257829</v>
      </c>
      <c r="AL9" s="100">
        <f>INDEX(LINEST(LN(AV9:BC9),LN(AV8:BC8),TRUE,TRUE),3,1)</f>
        <v>0.96372566225794087</v>
      </c>
      <c r="AM9" s="100">
        <f>INDEX(LINEST(LN(AV9:BC9),LN(AV8:BC8)),1)</f>
        <v>-0.14009386451260886</v>
      </c>
      <c r="AN9" s="100">
        <f>EXP(INDEX(LINEST(LN(AV9:BC9),LN(AV8:BC8)),1,2))</f>
        <v>7.5328700208289039</v>
      </c>
      <c r="AO9" s="104">
        <f>INDEX(LINEST((AV9:BC9),LN(AV8:BC8),TRUE,TRUE),3,1)</f>
        <v>0.95612006534909966</v>
      </c>
      <c r="AP9" s="104">
        <f>INDEX(LINEST((AV9:BC9),LN(AV8:BC8)),1)</f>
        <v>-0.49054485679991228</v>
      </c>
      <c r="AQ9" s="48">
        <f>INDEX(LINEST(LN(AV9:BC9),SQRT(AV8:BC8),TRUE,TRUE),3,1)</f>
        <v>0.86227269127264095</v>
      </c>
      <c r="AR9" s="56">
        <f>INDEX(LINEST(LN(AV9:BC9),SQRT((AV8:BC8))),1)</f>
        <v>-1.4442468167535263E-2</v>
      </c>
      <c r="AS9" s="49">
        <f>INDEX(LINEST(1/(AV9:BC9),1/(SQRT(AV8:BC8)),TRUE,TRUE),3,1)</f>
        <v>0.93568265827451613</v>
      </c>
      <c r="AT9" s="49">
        <f>INDEX(LINEST(1/(AV9:BC9),1/SQRT(AV8:BC8)),1)</f>
        <v>-1.1745634615381135</v>
      </c>
      <c r="AU9" s="63"/>
      <c r="AV9" s="65">
        <v>4.37</v>
      </c>
      <c r="AW9" s="65">
        <v>4.17</v>
      </c>
      <c r="AX9" s="65">
        <v>3.91</v>
      </c>
      <c r="AY9" s="65">
        <v>3.74</v>
      </c>
      <c r="AZ9" s="65">
        <v>3.64</v>
      </c>
      <c r="BA9" s="65">
        <v>3.21</v>
      </c>
      <c r="BB9" s="65">
        <v>2.87</v>
      </c>
      <c r="BC9" s="65">
        <v>2.87</v>
      </c>
      <c r="BD9" s="65"/>
      <c r="BE9" s="65"/>
      <c r="BF9" s="65"/>
      <c r="BG9" s="65"/>
      <c r="BH9" s="65"/>
      <c r="BI9" s="65"/>
      <c r="BJ9" s="65"/>
      <c r="BK9" s="65"/>
      <c r="BL9" s="61"/>
      <c r="BM9" s="61"/>
      <c r="BN9" s="61"/>
      <c r="BO9" s="61"/>
      <c r="BP9" s="61"/>
      <c r="BQ9" s="61"/>
      <c r="BR9" s="61"/>
      <c r="BS9" s="61"/>
      <c r="BT9" s="61"/>
      <c r="BU9" s="61"/>
      <c r="BV9" s="61"/>
      <c r="BW9" s="61"/>
      <c r="BX9" s="61"/>
      <c r="BY9" s="61"/>
      <c r="BZ9" s="61"/>
      <c r="CA9" s="61"/>
      <c r="CB9" s="61"/>
      <c r="CC9" s="61"/>
      <c r="CD9" s="61"/>
      <c r="CE9" s="61"/>
      <c r="CF9" s="61"/>
      <c r="CG9" s="61"/>
      <c r="CH9" s="61"/>
      <c r="CI9" s="61"/>
      <c r="CJ9" s="61"/>
      <c r="CK9" s="61"/>
      <c r="CL9" s="61"/>
      <c r="CM9" s="61"/>
      <c r="CN9" s="61"/>
      <c r="CO9" s="61"/>
      <c r="CP9" s="61"/>
      <c r="CQ9" s="61"/>
      <c r="CR9" s="59"/>
      <c r="CS9" s="59"/>
      <c r="CT9" s="59"/>
      <c r="CU9" s="59"/>
    </row>
    <row r="10" spans="1:99" s="60" customFormat="1" ht="12" customHeight="1" x14ac:dyDescent="0.2">
      <c r="A10" s="94">
        <v>43509</v>
      </c>
      <c r="B10" s="101"/>
      <c r="C10" s="101"/>
      <c r="D10" s="77"/>
      <c r="E10" s="98"/>
      <c r="F10" s="77"/>
      <c r="G10" s="77"/>
      <c r="H10" s="77"/>
      <c r="I10" s="77"/>
      <c r="J10" s="77"/>
      <c r="K10" s="102"/>
      <c r="L10" s="102"/>
      <c r="M10" s="77"/>
      <c r="N10" s="77"/>
      <c r="O10" s="77"/>
      <c r="P10" s="77"/>
      <c r="Q10" s="77"/>
      <c r="R10" s="77"/>
      <c r="S10" s="77"/>
      <c r="T10" s="96"/>
      <c r="U10" s="32"/>
      <c r="V10" s="77"/>
      <c r="W10" s="77"/>
      <c r="X10" s="77"/>
      <c r="Y10" s="98"/>
      <c r="Z10" s="77"/>
      <c r="AA10" s="77"/>
      <c r="AB10" s="77"/>
      <c r="AC10" s="77"/>
      <c r="AD10" s="77"/>
      <c r="AE10" s="77"/>
      <c r="AF10" s="99"/>
      <c r="AG10" s="100"/>
      <c r="AH10" s="84"/>
      <c r="AI10" s="100"/>
      <c r="AJ10" s="105"/>
      <c r="AK10" s="100"/>
      <c r="AL10" s="100"/>
      <c r="AM10" s="100"/>
      <c r="AN10" s="100"/>
      <c r="AO10" s="100"/>
      <c r="AP10" s="100"/>
      <c r="AQ10" s="104"/>
      <c r="AR10" s="106"/>
      <c r="AS10" s="104"/>
      <c r="AT10" s="104"/>
      <c r="AU10" s="62"/>
      <c r="AV10" s="64">
        <f>60*0.9</f>
        <v>54</v>
      </c>
      <c r="AW10" s="64">
        <f>60*1.2</f>
        <v>72</v>
      </c>
      <c r="AX10" s="64">
        <f>60*1.75</f>
        <v>105</v>
      </c>
      <c r="AY10" s="64">
        <f>60*2.3</f>
        <v>138</v>
      </c>
      <c r="AZ10" s="64">
        <f>60*3.5</f>
        <v>210</v>
      </c>
      <c r="BA10" s="64">
        <f>60*5.8</f>
        <v>348</v>
      </c>
      <c r="BB10" s="64">
        <f>60*11.7</f>
        <v>702</v>
      </c>
      <c r="BC10" s="64">
        <f>60*23.3</f>
        <v>1398</v>
      </c>
      <c r="BD10" s="65"/>
      <c r="BE10" s="65"/>
      <c r="BF10" s="65"/>
      <c r="BG10" s="65"/>
      <c r="BH10" s="65"/>
      <c r="BI10" s="65"/>
      <c r="BJ10" s="65"/>
      <c r="BK10" s="65"/>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c r="CN10" s="61"/>
      <c r="CO10" s="61"/>
      <c r="CP10" s="61"/>
      <c r="CQ10" s="61"/>
      <c r="CR10" s="59"/>
      <c r="CS10" s="59"/>
      <c r="CT10" s="59"/>
      <c r="CU10" s="59"/>
    </row>
    <row r="11" spans="1:99" s="60" customFormat="1" ht="12" customHeight="1" x14ac:dyDescent="0.2">
      <c r="A11" s="94">
        <v>43509</v>
      </c>
      <c r="B11" s="101" t="s">
        <v>203</v>
      </c>
      <c r="C11" s="101" t="s">
        <v>204</v>
      </c>
      <c r="D11" s="77">
        <v>1972</v>
      </c>
      <c r="E11" s="98">
        <v>1</v>
      </c>
      <c r="F11" s="77">
        <v>17</v>
      </c>
      <c r="G11" s="77">
        <v>17</v>
      </c>
      <c r="H11" s="77" t="s">
        <v>16</v>
      </c>
      <c r="I11" s="77" t="s">
        <v>209</v>
      </c>
      <c r="J11" s="77" t="s">
        <v>12</v>
      </c>
      <c r="K11" s="77" t="str">
        <f>IF(J11="syllables","1",IF(J11="trigrams","2",IF(J11="strings","3",IF(J11="visual array","4",IF(J11="characters","5",IF(J11="letters","6",IF(J11="free forms","7",IF(J11="odors","8",IF(J11="words","9",IF(J11="pictures","10",IF(J11="object pictures","11",IF(J11="faces","12",IF(J11="names","13",IF(J11="idioms","14",IF(J11="grades","15",IF(J11="syllable-digit pairs","16",IF(J11="trigram-word pairs","17",IF(J11="word-digit pairs","18",IF(J11="English-Swahili pairs","19",IF(J11="spatial position","20",IF(J11="word pairs","21",IF(J11="word triads","22",IF(J11="generated words","23",IF(J11="word definition pairs","24",IF(J11="math problems","25",IF(J11="famous faces","26",IF(J11="famous names","27",IF(J11="famous voices","28",IF(J11="television programs","29",IF(J11="race horses","30",IF(J11="new vocabulary","31",IF(J11="sentences","32",IF(J11="concepts","33",IF(J11="ad slides","34",IF(J11="scenes","35",IF(J11="famous scenes","36",IF(J11="poems","37",IF(J11="walk","38",IF(J11="faces and events","39",IF(J11="events and names","40",IF(J11="flashbulb","41",IF(J11="stories","42",IF(J11="course material","43",IF(J11="autobiographical","44",IF(J11="novels","45",IF(J11="public events","46",IF(J11="order","90","99")))))))))))))))))))))))))))))))))))))))))))))))</f>
        <v>9</v>
      </c>
      <c r="L11" s="77" t="str">
        <f>IF(J11="syllables","1",IF(J11="trigrams","1",IF(J11="strings","1",IF(J11="visual array","1",IF(J11="characters","1",IF(J11="letters","1",IF(J11="free forms","1",IF(J11="odors","2",IF(J11="words","2",IF(J11="pictures","2",IF(J11="object pictures","2",IF(J11="faces","2",IF(J11="names","2",IF(J11="idioms","2",IF(J11="grades","2",IF(J11="syllable-digit pairs","3",IF(J11="trigram-word pairs","3",IF(J11="word-digit pairs","3",IF(J11="English-Swahili pairs","3",IF(J11="spatial position","3",IF(J11="word pairs","4",IF(J11="word triads","4",IF(J11="generated words","4",IF(J11="word definition pairs","4",IF(J11="math problems","4",IF(J11="famous faces","4",IF(J11="famous names","4",IF(J11="famous voices","4",IF(J11="television programs","4",IF(J11="race horses","4",IF(J11="new vocabulary","4",IF(J11="sentences","5",IF(J11="concepts","5",IF(J11="ad slides","5",IF(J11="scenes","5",IF(J11="famous scenes","5",IF(J11="poems","6",IF(J11="walk","6",IF(J11="faces and events","6",IF(J11="events and names","6",IF(J11="flashbulb","7",IF(J11="stories","7",IF(J11="course material","7",IF(J11="autobiographical","7",IF(J11="novels","7",IF(J11="public events","7",IF(J11="order","90","99")))))))))))))))))))))))))))))))))))))))))))))))</f>
        <v>2</v>
      </c>
      <c r="M11" s="77" t="s">
        <v>195</v>
      </c>
      <c r="N11" s="77">
        <v>1</v>
      </c>
      <c r="O11" s="77" t="s">
        <v>195</v>
      </c>
      <c r="P11" s="77"/>
      <c r="Q11" s="77" t="s">
        <v>18</v>
      </c>
      <c r="R11" s="77" t="str">
        <f>IF(Q11="Free Recall","1",IF(Q11="Cued Recall","2",IF(Q11="Recognition","3",IF(Q11="Multiple Choice","4",IF(Q11="Savings","5",IF(Q11="Stem Completion","6",IF(Q11="Fragment Completion","7",IF(Q11="anagram solution","8",IF(Q11="Matching","9",IF(Q11="Problem Solving","10","99"))))))))))</f>
        <v>3</v>
      </c>
      <c r="S11" s="77" t="s">
        <v>196</v>
      </c>
      <c r="T11" s="96" t="s">
        <v>132</v>
      </c>
      <c r="U11" s="32">
        <f>IF(T11="within",1,0)</f>
        <v>1</v>
      </c>
      <c r="V11" s="96">
        <v>400</v>
      </c>
      <c r="W11" s="77">
        <f>F11*V11</f>
        <v>6800</v>
      </c>
      <c r="X11" s="77">
        <v>8</v>
      </c>
      <c r="Y11" s="98">
        <f>AV10</f>
        <v>54</v>
      </c>
      <c r="Z11" s="77" t="s">
        <v>208</v>
      </c>
      <c r="AA11" s="77">
        <v>1398</v>
      </c>
      <c r="AB11" s="77" t="str">
        <f>IF(AA11&lt;60,"1",IF(AA11&lt;=43200,"2",IF(AA11&lt;=777600,"3","4")))</f>
        <v>2</v>
      </c>
      <c r="AC11" s="100">
        <f>AVERAGE(AV10:DA10)</f>
        <v>378.375</v>
      </c>
      <c r="AD11" s="77" t="str">
        <f>IF(AC11&lt;60,"1",IF(AC11&lt;=43200,"2",IF(AC11&lt;=777600,"3","4")))</f>
        <v>2</v>
      </c>
      <c r="AE11" s="98">
        <f>AA11-Y11</f>
        <v>1344</v>
      </c>
      <c r="AF11" s="99">
        <f>AV11</f>
        <v>6.27</v>
      </c>
      <c r="AG11" s="100">
        <f>((AW11-AV11)+(AX11-AW11)+(AY11-AX11)+(AZ11-AY11)+(BA11-AZ11)+(BB11-BA11)+(BC11-BB11))/7</f>
        <v>-0.16571428571428562</v>
      </c>
      <c r="AH11" s="84"/>
      <c r="AI11" s="100">
        <f>RSQ(AV11:BC11,AV10:BC10)</f>
        <v>0.47771063200357067</v>
      </c>
      <c r="AJ11" s="105">
        <f>SLOPE(AV11:BC11,AV10:BC10)</f>
        <v>-5.9926162931340057E-4</v>
      </c>
      <c r="AK11" s="100">
        <f>INTERCEPT(AV11:BC11,AV10:BC10)</f>
        <v>5.7542456189914581</v>
      </c>
      <c r="AL11" s="100">
        <f>INDEX(LINEST(LN(AV11:BC11),LN(AV10:BC10),TRUE,TRUE),3,1)</f>
        <v>0.77684011517101725</v>
      </c>
      <c r="AM11" s="100">
        <f>INDEX(LINEST(LN(AV11:BC11),LN(AV10:BC10)),1)</f>
        <v>-5.5660573317711515E-2</v>
      </c>
      <c r="AN11" s="100">
        <f>EXP(INDEX(LINEST(LN(AV11:BC11),LN(AV10:BC10)),1,2))</f>
        <v>7.430253443379927</v>
      </c>
      <c r="AO11" s="104">
        <f>INDEX(LINEST((AV11:BC11),LN(AV10:BC10),TRUE,TRUE),3,1)</f>
        <v>0.75680652186189157</v>
      </c>
      <c r="AP11" s="104">
        <f>INDEX(LINEST((AV11:BC11),LN(AV10:BC10)),1)</f>
        <v>-0.30929723751963173</v>
      </c>
      <c r="AQ11" s="48">
        <f>INDEX(LINEST(LN(AV11:BC11),SQRT(AV10:BC10),TRUE,TRUE),3,1)</f>
        <v>0.6418601957199116</v>
      </c>
      <c r="AR11" s="56">
        <f>INDEX(LINEST(LN(AV11:BC11),SQRT((AV10:BC10))),1)</f>
        <v>-5.5141525246314577E-3</v>
      </c>
      <c r="AS11" s="49">
        <f>INDEX(LINEST(1/(AV11:BC11),1/(SQRT(AV10:BC10)),TRUE,TRUE),3,1)</f>
        <v>0.85460798449639686</v>
      </c>
      <c r="AT11" s="49">
        <f>INDEX(LINEST(1/(AV11:BC11),1/SQRT(AV10:BC10)),1)</f>
        <v>-0.30664230426080458</v>
      </c>
      <c r="AU11" s="63"/>
      <c r="AV11" s="65">
        <v>6.27</v>
      </c>
      <c r="AW11" s="65">
        <v>5.7</v>
      </c>
      <c r="AX11" s="65">
        <v>5.53</v>
      </c>
      <c r="AY11" s="65">
        <v>5.85</v>
      </c>
      <c r="AZ11" s="65">
        <v>5.42</v>
      </c>
      <c r="BA11" s="65">
        <v>5.22</v>
      </c>
      <c r="BB11" s="65">
        <v>5.12</v>
      </c>
      <c r="BC11" s="65">
        <v>5.1100000000000003</v>
      </c>
      <c r="BD11" s="65"/>
      <c r="BE11" s="65"/>
      <c r="BF11" s="65"/>
      <c r="BG11" s="65"/>
      <c r="BH11" s="65"/>
      <c r="BI11" s="65"/>
      <c r="BJ11" s="65"/>
      <c r="BK11" s="65"/>
      <c r="BL11" s="61"/>
      <c r="BM11" s="61"/>
      <c r="BN11" s="61"/>
      <c r="BO11" s="61"/>
      <c r="BP11" s="61"/>
      <c r="BQ11" s="61"/>
      <c r="BR11" s="61"/>
      <c r="BS11" s="61"/>
      <c r="BT11" s="61"/>
      <c r="BU11" s="61"/>
      <c r="BV11" s="61"/>
      <c r="BW11" s="61"/>
      <c r="BX11" s="61"/>
      <c r="BY11" s="61"/>
      <c r="BZ11" s="61"/>
      <c r="CA11" s="61"/>
      <c r="CB11" s="61"/>
      <c r="CC11" s="61"/>
      <c r="CD11" s="61"/>
      <c r="CE11" s="61"/>
      <c r="CF11" s="61"/>
      <c r="CG11" s="61"/>
      <c r="CH11" s="61"/>
      <c r="CI11" s="61"/>
      <c r="CJ11" s="61"/>
      <c r="CK11" s="61"/>
      <c r="CL11" s="61"/>
      <c r="CM11" s="61"/>
      <c r="CN11" s="61"/>
      <c r="CO11" s="61"/>
      <c r="CP11" s="61"/>
      <c r="CQ11" s="61"/>
      <c r="CR11" s="59"/>
      <c r="CS11" s="59"/>
      <c r="CT11" s="59"/>
      <c r="CU11" s="59"/>
    </row>
    <row r="12" spans="1:99" s="60" customFormat="1" ht="12" customHeight="1" x14ac:dyDescent="0.2">
      <c r="A12" s="94">
        <v>43509</v>
      </c>
      <c r="B12" s="101"/>
      <c r="C12" s="101"/>
      <c r="D12" s="77"/>
      <c r="E12" s="98"/>
      <c r="F12" s="77"/>
      <c r="G12" s="77"/>
      <c r="H12" s="77"/>
      <c r="I12" s="77"/>
      <c r="J12" s="77"/>
      <c r="K12" s="102"/>
      <c r="L12" s="102"/>
      <c r="M12" s="77"/>
      <c r="N12" s="77"/>
      <c r="O12" s="77"/>
      <c r="P12" s="77"/>
      <c r="Q12" s="77"/>
      <c r="R12" s="77"/>
      <c r="S12" s="77"/>
      <c r="T12" s="96"/>
      <c r="U12" s="32"/>
      <c r="V12" s="77"/>
      <c r="W12" s="77"/>
      <c r="X12" s="77"/>
      <c r="Y12" s="98"/>
      <c r="Z12" s="77"/>
      <c r="AA12" s="77"/>
      <c r="AB12" s="77"/>
      <c r="AC12" s="77"/>
      <c r="AD12" s="77"/>
      <c r="AE12" s="77"/>
      <c r="AF12" s="99"/>
      <c r="AG12" s="100"/>
      <c r="AH12" s="84"/>
      <c r="AI12" s="100"/>
      <c r="AJ12" s="105"/>
      <c r="AK12" s="100"/>
      <c r="AL12" s="100"/>
      <c r="AM12" s="100"/>
      <c r="AN12" s="100"/>
      <c r="AO12" s="100"/>
      <c r="AP12" s="100"/>
      <c r="AQ12" s="104"/>
      <c r="AR12" s="106"/>
      <c r="AS12" s="104"/>
      <c r="AT12" s="104"/>
      <c r="AU12" s="62"/>
      <c r="AV12" s="64">
        <f>60*0.9</f>
        <v>54</v>
      </c>
      <c r="AW12" s="64">
        <f>60*1.2</f>
        <v>72</v>
      </c>
      <c r="AX12" s="64">
        <f>60*1.75</f>
        <v>105</v>
      </c>
      <c r="AY12" s="64">
        <f>60*2.3</f>
        <v>138</v>
      </c>
      <c r="AZ12" s="64">
        <f>60*3.5</f>
        <v>210</v>
      </c>
      <c r="BA12" s="64">
        <f>60*5.8</f>
        <v>348</v>
      </c>
      <c r="BB12" s="64">
        <f>60*11.7</f>
        <v>702</v>
      </c>
      <c r="BC12" s="64">
        <f>60*23.3</f>
        <v>1398</v>
      </c>
      <c r="BD12" s="65"/>
      <c r="BE12" s="65"/>
      <c r="BF12" s="65"/>
      <c r="BG12" s="65"/>
      <c r="BH12" s="65"/>
      <c r="BI12" s="65"/>
      <c r="BJ12" s="65"/>
      <c r="BK12" s="65"/>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1"/>
      <c r="CK12" s="61"/>
      <c r="CL12" s="61"/>
      <c r="CM12" s="61"/>
      <c r="CN12" s="61"/>
      <c r="CO12" s="61"/>
      <c r="CP12" s="61"/>
      <c r="CQ12" s="61"/>
      <c r="CR12" s="59"/>
      <c r="CS12" s="59"/>
      <c r="CT12" s="59"/>
      <c r="CU12" s="59"/>
    </row>
    <row r="13" spans="1:99" s="60" customFormat="1" ht="12" customHeight="1" x14ac:dyDescent="0.2">
      <c r="A13" s="94">
        <v>43509</v>
      </c>
      <c r="B13" s="101" t="s">
        <v>203</v>
      </c>
      <c r="C13" s="101" t="s">
        <v>204</v>
      </c>
      <c r="D13" s="77">
        <v>1972</v>
      </c>
      <c r="E13" s="98">
        <v>1</v>
      </c>
      <c r="F13" s="77">
        <v>17</v>
      </c>
      <c r="G13" s="77">
        <v>17</v>
      </c>
      <c r="H13" s="77" t="s">
        <v>16</v>
      </c>
      <c r="I13" s="77" t="s">
        <v>210</v>
      </c>
      <c r="J13" s="77" t="s">
        <v>12</v>
      </c>
      <c r="K13" s="77" t="str">
        <f>IF(J13="syllables","1",IF(J13="trigrams","2",IF(J13="strings","3",IF(J13="visual array","4",IF(J13="characters","5",IF(J13="letters","6",IF(J13="free forms","7",IF(J13="odors","8",IF(J13="words","9",IF(J13="pictures","10",IF(J13="object pictures","11",IF(J13="faces","12",IF(J13="names","13",IF(J13="idioms","14",IF(J13="grades","15",IF(J13="syllable-digit pairs","16",IF(J13="trigram-word pairs","17",IF(J13="word-digit pairs","18",IF(J13="English-Swahili pairs","19",IF(J13="spatial position","20",IF(J13="word pairs","21",IF(J13="word triads","22",IF(J13="generated words","23",IF(J13="word definition pairs","24",IF(J13="math problems","25",IF(J13="famous faces","26",IF(J13="famous names","27",IF(J13="famous voices","28",IF(J13="television programs","29",IF(J13="race horses","30",IF(J13="new vocabulary","31",IF(J13="sentences","32",IF(J13="concepts","33",IF(J13="ad slides","34",IF(J13="scenes","35",IF(J13="famous scenes","36",IF(J13="poems","37",IF(J13="walk","38",IF(J13="faces and events","39",IF(J13="events and names","40",IF(J13="flashbulb","41",IF(J13="stories","42",IF(J13="course material","43",IF(J13="autobiographical","44",IF(J13="novels","45",IF(J13="public events","46",IF(J13="order","90","99")))))))))))))))))))))))))))))))))))))))))))))))</f>
        <v>9</v>
      </c>
      <c r="L13" s="77" t="str">
        <f>IF(J13="syllables","1",IF(J13="trigrams","1",IF(J13="strings","1",IF(J13="visual array","1",IF(J13="characters","1",IF(J13="letters","1",IF(J13="free forms","1",IF(J13="odors","2",IF(J13="words","2",IF(J13="pictures","2",IF(J13="object pictures","2",IF(J13="faces","2",IF(J13="names","2",IF(J13="idioms","2",IF(J13="grades","2",IF(J13="syllable-digit pairs","3",IF(J13="trigram-word pairs","3",IF(J13="word-digit pairs","3",IF(J13="English-Swahili pairs","3",IF(J13="spatial position","3",IF(J13="word pairs","4",IF(J13="word triads","4",IF(J13="generated words","4",IF(J13="word definition pairs","4",IF(J13="math problems","4",IF(J13="famous faces","4",IF(J13="famous names","4",IF(J13="famous voices","4",IF(J13="television programs","4",IF(J13="race horses","4",IF(J13="new vocabulary","4",IF(J13="sentences","5",IF(J13="concepts","5",IF(J13="ad slides","5",IF(J13="scenes","5",IF(J13="famous scenes","5",IF(J13="poems","6",IF(J13="walk","6",IF(J13="faces and events","6",IF(J13="events and names","6",IF(J13="flashbulb","7",IF(J13="stories","7",IF(J13="course material","7",IF(J13="autobiographical","7",IF(J13="novels","7",IF(J13="public events","7",IF(J13="order","90","99")))))))))))))))))))))))))))))))))))))))))))))))</f>
        <v>2</v>
      </c>
      <c r="M13" s="77" t="s">
        <v>195</v>
      </c>
      <c r="N13" s="77">
        <v>1</v>
      </c>
      <c r="O13" s="77" t="s">
        <v>195</v>
      </c>
      <c r="P13" s="77"/>
      <c r="Q13" s="77" t="s">
        <v>18</v>
      </c>
      <c r="R13" s="77" t="str">
        <f>IF(Q13="Free Recall","1",IF(Q13="Cued Recall","2",IF(Q13="Recognition","3",IF(Q13="Multiple Choice","4",IF(Q13="Savings","5",IF(Q13="Stem Completion","6",IF(Q13="Fragment Completion","7",IF(Q13="anagram solution","8",IF(Q13="Matching","9",IF(Q13="Problem Solving","10","99"))))))))))</f>
        <v>3</v>
      </c>
      <c r="S13" s="77" t="s">
        <v>196</v>
      </c>
      <c r="T13" s="96" t="s">
        <v>132</v>
      </c>
      <c r="U13" s="32">
        <f>IF(T13="within",1,0)</f>
        <v>1</v>
      </c>
      <c r="V13" s="96">
        <v>400</v>
      </c>
      <c r="W13" s="77">
        <f>F13*V13</f>
        <v>6800</v>
      </c>
      <c r="X13" s="77">
        <v>8</v>
      </c>
      <c r="Y13" s="98">
        <f>AV12</f>
        <v>54</v>
      </c>
      <c r="Z13" s="77" t="s">
        <v>208</v>
      </c>
      <c r="AA13" s="77">
        <v>1398</v>
      </c>
      <c r="AB13" s="77" t="str">
        <f>IF(AA13&lt;60,"1",IF(AA13&lt;=43200,"2",IF(AA13&lt;=777600,"3","4")))</f>
        <v>2</v>
      </c>
      <c r="AC13" s="100">
        <f>AVERAGE(AV12:DA12)</f>
        <v>378.375</v>
      </c>
      <c r="AD13" s="77" t="str">
        <f>IF(AC13&lt;60,"1",IF(AC13&lt;=43200,"2",IF(AC13&lt;=777600,"3","4")))</f>
        <v>2</v>
      </c>
      <c r="AE13" s="98">
        <f>AA13-Y13</f>
        <v>1344</v>
      </c>
      <c r="AF13" s="99">
        <f>AV13</f>
        <v>4.07</v>
      </c>
      <c r="AG13" s="100">
        <f>((AW13-AV13)+(AX13-AW13)+(AY13-AX13)+(AZ13-AY13)+(BA13-AZ13)+(BB13-BA13)+(BC13-BB13))/7</f>
        <v>-0.18714285714285722</v>
      </c>
      <c r="AH13" s="84"/>
      <c r="AI13" s="100">
        <f>RSQ(AV13:BC13,AV12:BC12)</f>
        <v>0.44594809465621454</v>
      </c>
      <c r="AJ13" s="105">
        <f>SLOPE(AV13:BC13,AV12:BC12)</f>
        <v>-8.3571065375875745E-4</v>
      </c>
      <c r="AK13" s="100">
        <f>INTERCEPT(AV13:BC13,AV12:BC12)</f>
        <v>3.5912120186159702</v>
      </c>
      <c r="AL13" s="100">
        <f>INDEX(LINEST(LN(AV13:BC13),LN(AV12:BC12),TRUE,TRUE),3,1)</f>
        <v>0.78317801040679513</v>
      </c>
      <c r="AM13" s="100">
        <f>INDEX(LINEST(LN(AV13:BC13),LN(AV12:BC12)),1)</f>
        <v>-0.13662508109794766</v>
      </c>
      <c r="AN13" s="100">
        <f>EXP(INDEX(LINEST(LN(AV13:BC13),LN(AV12:BC12)),1,2))</f>
        <v>6.7163055221887618</v>
      </c>
      <c r="AO13" s="104">
        <f>INDEX(LINEST((AV13:BC13),LN(AV12:BC12),TRUE,TRUE),3,1)</f>
        <v>0.76439374076565869</v>
      </c>
      <c r="AP13" s="104">
        <f>INDEX(LINEST((AV13:BC13),LN(AV12:BC12)),1)</f>
        <v>-0.44866473393314893</v>
      </c>
      <c r="AQ13" s="48">
        <f>INDEX(LINEST(LN(AV13:BC13),SQRT(AV12:BC12),TRUE,TRUE),3,1)</f>
        <v>0.62987368626171492</v>
      </c>
      <c r="AR13" s="56">
        <f>INDEX(LINEST(LN(AV13:BC13),SQRT((AV12:BC12))),1)</f>
        <v>-1.3353761710554114E-2</v>
      </c>
      <c r="AS13" s="49">
        <f>INDEX(LINEST(1/(AV13:BC13),1/(SQRT(AV12:BC12)),TRUE,TRUE),3,1)</f>
        <v>0.85416226711804555</v>
      </c>
      <c r="AT13" s="49">
        <f>INDEX(LINEST(1/(AV13:BC13),1/SQRT(AV12:BC12)),1)</f>
        <v>-1.2919050763565958</v>
      </c>
      <c r="AU13" s="63"/>
      <c r="AV13" s="65">
        <v>4.07</v>
      </c>
      <c r="AW13" s="65">
        <v>4.12</v>
      </c>
      <c r="AX13" s="65">
        <v>3.46</v>
      </c>
      <c r="AY13" s="65">
        <v>3</v>
      </c>
      <c r="AZ13" s="65">
        <v>3.27</v>
      </c>
      <c r="BA13" s="65">
        <v>2.99</v>
      </c>
      <c r="BB13" s="65">
        <v>2.5299999999999998</v>
      </c>
      <c r="BC13" s="65">
        <v>2.76</v>
      </c>
      <c r="BD13" s="65"/>
      <c r="BE13" s="65"/>
      <c r="BF13" s="65"/>
      <c r="BG13" s="65"/>
      <c r="BH13" s="65"/>
      <c r="BI13" s="65"/>
      <c r="BJ13" s="65"/>
      <c r="BK13" s="65"/>
      <c r="BL13" s="61"/>
      <c r="BM13" s="61"/>
      <c r="BN13" s="61"/>
      <c r="BO13" s="61"/>
      <c r="BP13" s="61"/>
      <c r="BQ13" s="61"/>
      <c r="BR13" s="61"/>
      <c r="BS13" s="61"/>
      <c r="BT13" s="61"/>
      <c r="BU13" s="61"/>
      <c r="BV13" s="61"/>
      <c r="BW13" s="61"/>
      <c r="BX13" s="61"/>
      <c r="BY13" s="61"/>
      <c r="BZ13" s="61"/>
      <c r="CA13" s="61"/>
      <c r="CB13" s="61"/>
      <c r="CC13" s="61"/>
      <c r="CD13" s="61"/>
      <c r="CE13" s="61"/>
      <c r="CF13" s="61"/>
      <c r="CG13" s="61"/>
      <c r="CH13" s="61"/>
      <c r="CI13" s="61"/>
      <c r="CJ13" s="61"/>
      <c r="CK13" s="61"/>
      <c r="CL13" s="61"/>
      <c r="CM13" s="61"/>
      <c r="CN13" s="61"/>
      <c r="CO13" s="61"/>
      <c r="CP13" s="61"/>
      <c r="CQ13" s="61"/>
      <c r="CR13" s="59"/>
      <c r="CS13" s="59"/>
      <c r="CT13" s="59"/>
      <c r="CU13" s="59"/>
    </row>
    <row r="14" spans="1:99" s="60" customFormat="1" ht="12" customHeight="1" x14ac:dyDescent="0.2">
      <c r="A14" s="94">
        <v>43509</v>
      </c>
      <c r="B14" s="101"/>
      <c r="C14" s="101"/>
      <c r="D14" s="77"/>
      <c r="E14" s="98"/>
      <c r="F14" s="77"/>
      <c r="G14" s="77"/>
      <c r="H14" s="77"/>
      <c r="I14" s="77"/>
      <c r="J14" s="77"/>
      <c r="K14" s="102"/>
      <c r="L14" s="102"/>
      <c r="M14" s="77"/>
      <c r="N14" s="77"/>
      <c r="O14" s="77"/>
      <c r="P14" s="77"/>
      <c r="Q14" s="77"/>
      <c r="R14" s="77"/>
      <c r="S14" s="77"/>
      <c r="T14" s="96"/>
      <c r="U14" s="32"/>
      <c r="V14" s="77"/>
      <c r="W14" s="77"/>
      <c r="X14" s="77"/>
      <c r="Y14" s="98"/>
      <c r="Z14" s="77"/>
      <c r="AA14" s="77"/>
      <c r="AB14" s="77"/>
      <c r="AC14" s="77"/>
      <c r="AD14" s="77"/>
      <c r="AE14" s="77"/>
      <c r="AF14" s="99"/>
      <c r="AG14" s="100"/>
      <c r="AH14" s="84"/>
      <c r="AI14" s="100"/>
      <c r="AJ14" s="105"/>
      <c r="AK14" s="100"/>
      <c r="AL14" s="100"/>
      <c r="AM14" s="100"/>
      <c r="AN14" s="100"/>
      <c r="AO14" s="100"/>
      <c r="AP14" s="100"/>
      <c r="AQ14" s="104"/>
      <c r="AR14" s="106"/>
      <c r="AS14" s="104"/>
      <c r="AT14" s="104"/>
      <c r="AU14" s="62"/>
      <c r="AV14" s="64">
        <f>60*0.9</f>
        <v>54</v>
      </c>
      <c r="AW14" s="64">
        <f>60*1.2</f>
        <v>72</v>
      </c>
      <c r="AX14" s="64">
        <f>60*1.75</f>
        <v>105</v>
      </c>
      <c r="AY14" s="64">
        <f>60*2.3</f>
        <v>138</v>
      </c>
      <c r="AZ14" s="64">
        <f>60*3.5</f>
        <v>210</v>
      </c>
      <c r="BA14" s="64">
        <f>60*5.8</f>
        <v>348</v>
      </c>
      <c r="BB14" s="64">
        <f>60*11.7</f>
        <v>702</v>
      </c>
      <c r="BC14" s="64">
        <f>60*23.3</f>
        <v>1398</v>
      </c>
      <c r="BD14" s="65"/>
      <c r="BE14" s="65"/>
      <c r="BF14" s="65"/>
      <c r="BG14" s="65"/>
      <c r="BH14" s="65"/>
      <c r="BI14" s="65"/>
      <c r="BJ14" s="65"/>
      <c r="BK14" s="65"/>
      <c r="BL14" s="61"/>
      <c r="BM14" s="61"/>
      <c r="BN14" s="61"/>
      <c r="BO14" s="61"/>
      <c r="BP14" s="61"/>
      <c r="BQ14" s="61"/>
      <c r="BR14" s="61"/>
      <c r="BS14" s="61"/>
      <c r="BT14" s="61"/>
      <c r="BU14" s="61"/>
      <c r="BV14" s="61"/>
      <c r="BW14" s="61"/>
      <c r="BX14" s="61"/>
      <c r="BY14" s="61"/>
      <c r="BZ14" s="61"/>
      <c r="CA14" s="61"/>
      <c r="CB14" s="61"/>
      <c r="CC14" s="61"/>
      <c r="CD14" s="61"/>
      <c r="CE14" s="61"/>
      <c r="CF14" s="61"/>
      <c r="CG14" s="61"/>
      <c r="CH14" s="61"/>
      <c r="CI14" s="61"/>
      <c r="CJ14" s="61"/>
      <c r="CK14" s="61"/>
      <c r="CL14" s="61"/>
      <c r="CM14" s="61"/>
      <c r="CN14" s="61"/>
      <c r="CO14" s="61"/>
      <c r="CP14" s="61"/>
      <c r="CQ14" s="61"/>
      <c r="CR14" s="59"/>
      <c r="CS14" s="59"/>
      <c r="CT14" s="59"/>
      <c r="CU14" s="59"/>
    </row>
    <row r="15" spans="1:99" s="60" customFormat="1" ht="12" customHeight="1" x14ac:dyDescent="0.2">
      <c r="A15" s="94">
        <v>43509</v>
      </c>
      <c r="B15" s="101" t="s">
        <v>203</v>
      </c>
      <c r="C15" s="101" t="s">
        <v>204</v>
      </c>
      <c r="D15" s="77">
        <v>1972</v>
      </c>
      <c r="E15" s="98">
        <v>1</v>
      </c>
      <c r="F15" s="77">
        <v>17</v>
      </c>
      <c r="G15" s="77">
        <v>17</v>
      </c>
      <c r="H15" s="77" t="s">
        <v>16</v>
      </c>
      <c r="I15" s="77" t="s">
        <v>211</v>
      </c>
      <c r="J15" s="77" t="s">
        <v>12</v>
      </c>
      <c r="K15" s="77" t="str">
        <f>IF(J15="syllables","1",IF(J15="trigrams","2",IF(J15="strings","3",IF(J15="visual array","4",IF(J15="characters","5",IF(J15="letters","6",IF(J15="free forms","7",IF(J15="odors","8",IF(J15="words","9",IF(J15="pictures","10",IF(J15="object pictures","11",IF(J15="faces","12",IF(J15="names","13",IF(J15="idioms","14",IF(J15="grades","15",IF(J15="syllable-digit pairs","16",IF(J15="trigram-word pairs","17",IF(J15="word-digit pairs","18",IF(J15="English-Swahili pairs","19",IF(J15="spatial position","20",IF(J15="word pairs","21",IF(J15="word triads","22",IF(J15="generated words","23",IF(J15="word definition pairs","24",IF(J15="math problems","25",IF(J15="famous faces","26",IF(J15="famous names","27",IF(J15="famous voices","28",IF(J15="television programs","29",IF(J15="race horses","30",IF(J15="new vocabulary","31",IF(J15="sentences","32",IF(J15="concepts","33",IF(J15="ad slides","34",IF(J15="scenes","35",IF(J15="famous scenes","36",IF(J15="poems","37",IF(J15="walk","38",IF(J15="faces and events","39",IF(J15="events and names","40",IF(J15="flashbulb","41",IF(J15="stories","42",IF(J15="course material","43",IF(J15="autobiographical","44",IF(J15="novels","45",IF(J15="public events","46",IF(J15="order","90","99")))))))))))))))))))))))))))))))))))))))))))))))</f>
        <v>9</v>
      </c>
      <c r="L15" s="77" t="str">
        <f>IF(J15="syllables","1",IF(J15="trigrams","1",IF(J15="strings","1",IF(J15="visual array","1",IF(J15="characters","1",IF(J15="letters","1",IF(J15="free forms","1",IF(J15="odors","2",IF(J15="words","2",IF(J15="pictures","2",IF(J15="object pictures","2",IF(J15="faces","2",IF(J15="names","2",IF(J15="idioms","2",IF(J15="grades","2",IF(J15="syllable-digit pairs","3",IF(J15="trigram-word pairs","3",IF(J15="word-digit pairs","3",IF(J15="English-Swahili pairs","3",IF(J15="spatial position","3",IF(J15="word pairs","4",IF(J15="word triads","4",IF(J15="generated words","4",IF(J15="word definition pairs","4",IF(J15="math problems","4",IF(J15="famous faces","4",IF(J15="famous names","4",IF(J15="famous voices","4",IF(J15="television programs","4",IF(J15="race horses","4",IF(J15="new vocabulary","4",IF(J15="sentences","5",IF(J15="concepts","5",IF(J15="ad slides","5",IF(J15="scenes","5",IF(J15="famous scenes","5",IF(J15="poems","6",IF(J15="walk","6",IF(J15="faces and events","6",IF(J15="events and names","6",IF(J15="flashbulb","7",IF(J15="stories","7",IF(J15="course material","7",IF(J15="autobiographical","7",IF(J15="novels","7",IF(J15="public events","7",IF(J15="order","90","99")))))))))))))))))))))))))))))))))))))))))))))))</f>
        <v>2</v>
      </c>
      <c r="M15" s="77" t="s">
        <v>195</v>
      </c>
      <c r="N15" s="77">
        <v>1</v>
      </c>
      <c r="O15" s="77" t="s">
        <v>195</v>
      </c>
      <c r="P15" s="77"/>
      <c r="Q15" s="77" t="s">
        <v>18</v>
      </c>
      <c r="R15" s="77" t="str">
        <f>IF(Q15="Free Recall","1",IF(Q15="Cued Recall","2",IF(Q15="Recognition","3",IF(Q15="Multiple Choice","4",IF(Q15="Savings","5",IF(Q15="Stem Completion","6",IF(Q15="Fragment Completion","7",IF(Q15="anagram solution","8",IF(Q15="Matching","9",IF(Q15="Problem Solving","10","99"))))))))))</f>
        <v>3</v>
      </c>
      <c r="S15" s="77" t="s">
        <v>196</v>
      </c>
      <c r="T15" s="96" t="s">
        <v>132</v>
      </c>
      <c r="U15" s="32">
        <f>IF(T15="within",1,0)</f>
        <v>1</v>
      </c>
      <c r="V15" s="96">
        <v>400</v>
      </c>
      <c r="W15" s="77">
        <f>F15*V15</f>
        <v>6800</v>
      </c>
      <c r="X15" s="77">
        <v>8</v>
      </c>
      <c r="Y15" s="98">
        <f>AV14</f>
        <v>54</v>
      </c>
      <c r="Z15" s="77" t="s">
        <v>208</v>
      </c>
      <c r="AA15" s="77">
        <v>1398</v>
      </c>
      <c r="AB15" s="77" t="str">
        <f>IF(AA15&lt;60,"1",IF(AA15&lt;=43200,"2",IF(AA15&lt;=777600,"3","4")))</f>
        <v>2</v>
      </c>
      <c r="AC15" s="100">
        <f>AVERAGE(AV14:DA14)</f>
        <v>378.375</v>
      </c>
      <c r="AD15" s="77" t="str">
        <f>IF(AC15&lt;60,"1",IF(AC15&lt;=43200,"2",IF(AC15&lt;=777600,"3","4")))</f>
        <v>2</v>
      </c>
      <c r="AE15" s="98">
        <f>AA15-Y15</f>
        <v>1344</v>
      </c>
      <c r="AF15" s="99">
        <f>AV15</f>
        <v>3.24</v>
      </c>
      <c r="AG15" s="100">
        <f>((AW15-AV15)+(AX15-AW15)+(AY15-AX15)+(AZ15-AY15)+(BA15-AZ15)+(BB15-BA15)+(BC15-BB15))/7</f>
        <v>-0.19714285714285715</v>
      </c>
      <c r="AH15" s="84"/>
      <c r="AI15" s="100">
        <f>RSQ(AV15:BC15,AV14:BC14)</f>
        <v>0.64078165454001634</v>
      </c>
      <c r="AJ15" s="105">
        <f>SLOPE(AV15:BC15,AV14:BC14)</f>
        <v>-9.5057191465911699E-4</v>
      </c>
      <c r="AK15" s="100">
        <f>INTERCEPT(AV15:BC15,AV14:BC14)</f>
        <v>2.9659226482091436</v>
      </c>
      <c r="AL15" s="100">
        <f>INDEX(LINEST(LN(AV15:BC15),LN(AV14:BC14),TRUE,TRUE),3,1)</f>
        <v>0.83846799224343505</v>
      </c>
      <c r="AM15" s="100">
        <f>INDEX(LINEST(LN(AV15:BC15),LN(AV14:BC14)),1)</f>
        <v>-0.17541803033396614</v>
      </c>
      <c r="AN15" s="100">
        <f>EXP(INDEX(LINEST(LN(AV15:BC15),LN(AV14:BC14)),1,2))</f>
        <v>6.5349191390091343</v>
      </c>
      <c r="AO15" s="104">
        <f>INDEX(LINEST((AV15:BC15),LN(AV14:BC14),TRUE,TRUE),3,1)</f>
        <v>0.80025652434896766</v>
      </c>
      <c r="AP15" s="104">
        <f>INDEX(LINEST((AV15:BC15),LN(AV14:BC14)),1)</f>
        <v>-0.43560629442134008</v>
      </c>
      <c r="AQ15" s="48">
        <f>INDEX(LINEST(LN(AV15:BC15),SQRT(AV14:BC14),TRUE,TRUE),3,1)</f>
        <v>0.80218822270644152</v>
      </c>
      <c r="AR15" s="56">
        <f>INDEX(LINEST(LN(AV15:BC15),SQRT((AV14:BC14))),1)</f>
        <v>-1.8700181689598066E-2</v>
      </c>
      <c r="AS15" s="49">
        <f>INDEX(LINEST(1/(AV15:BC15),1/(SQRT(AV14:BC14)),TRUE,TRUE),3,1)</f>
        <v>0.78650211228624489</v>
      </c>
      <c r="AT15" s="49">
        <f>INDEX(LINEST(1/(AV15:BC15),1/SQRT(AV14:BC14)),1)</f>
        <v>-2.026346775647486</v>
      </c>
      <c r="AU15" s="63"/>
      <c r="AV15" s="65">
        <v>3.24</v>
      </c>
      <c r="AW15" s="65">
        <v>2.88</v>
      </c>
      <c r="AX15" s="65">
        <v>3.34</v>
      </c>
      <c r="AY15" s="65">
        <v>2.4300000000000002</v>
      </c>
      <c r="AZ15" s="65">
        <v>2.82</v>
      </c>
      <c r="BA15" s="65">
        <v>2.2799999999999998</v>
      </c>
      <c r="BB15" s="65">
        <v>2</v>
      </c>
      <c r="BC15" s="65">
        <v>1.86</v>
      </c>
      <c r="BD15" s="65"/>
      <c r="BE15" s="65"/>
      <c r="BF15" s="65"/>
      <c r="BG15" s="65"/>
      <c r="BH15" s="65"/>
      <c r="BI15" s="65"/>
      <c r="BJ15" s="65"/>
      <c r="BK15" s="65"/>
      <c r="BL15" s="61"/>
      <c r="BM15" s="61"/>
      <c r="BN15" s="61"/>
      <c r="BO15" s="61"/>
      <c r="BP15" s="61"/>
      <c r="BQ15" s="61"/>
      <c r="BR15" s="61"/>
      <c r="BS15" s="61"/>
      <c r="BT15" s="61"/>
      <c r="BU15" s="61"/>
      <c r="BV15" s="61"/>
      <c r="BW15" s="61"/>
      <c r="BX15" s="61"/>
      <c r="BY15" s="61"/>
      <c r="BZ15" s="61"/>
      <c r="CA15" s="61"/>
      <c r="CB15" s="61"/>
      <c r="CC15" s="61"/>
      <c r="CD15" s="61"/>
      <c r="CE15" s="61"/>
      <c r="CF15" s="61"/>
      <c r="CG15" s="61"/>
      <c r="CH15" s="61"/>
      <c r="CI15" s="61"/>
      <c r="CJ15" s="61"/>
      <c r="CK15" s="61"/>
      <c r="CL15" s="61"/>
      <c r="CM15" s="61"/>
      <c r="CN15" s="61"/>
      <c r="CO15" s="61"/>
      <c r="CP15" s="61"/>
      <c r="CQ15" s="61"/>
      <c r="CR15" s="59"/>
      <c r="CS15" s="59"/>
      <c r="CT15" s="59"/>
      <c r="CU15" s="59"/>
    </row>
    <row r="16" spans="1:99" s="60" customFormat="1" ht="12" customHeight="1" x14ac:dyDescent="0.2">
      <c r="A16" s="94">
        <v>43509</v>
      </c>
      <c r="B16" s="101"/>
      <c r="C16" s="101"/>
      <c r="D16" s="77"/>
      <c r="E16" s="98"/>
      <c r="F16" s="77"/>
      <c r="G16" s="77"/>
      <c r="H16" s="77"/>
      <c r="I16" s="77"/>
      <c r="J16" s="77"/>
      <c r="K16" s="102"/>
      <c r="L16" s="102"/>
      <c r="M16" s="77"/>
      <c r="N16" s="77"/>
      <c r="O16" s="77"/>
      <c r="P16" s="77"/>
      <c r="Q16" s="77"/>
      <c r="R16" s="77"/>
      <c r="S16" s="77"/>
      <c r="T16" s="96"/>
      <c r="U16" s="32"/>
      <c r="V16" s="77"/>
      <c r="W16" s="77"/>
      <c r="X16" s="77"/>
      <c r="Y16" s="98"/>
      <c r="Z16" s="77"/>
      <c r="AA16" s="77"/>
      <c r="AB16" s="77"/>
      <c r="AC16" s="77"/>
      <c r="AD16" s="77"/>
      <c r="AE16" s="77"/>
      <c r="AF16" s="99"/>
      <c r="AG16" s="100"/>
      <c r="AH16" s="84"/>
      <c r="AI16" s="100"/>
      <c r="AJ16" s="105"/>
      <c r="AK16" s="100"/>
      <c r="AL16" s="100"/>
      <c r="AM16" s="100"/>
      <c r="AN16" s="100"/>
      <c r="AO16" s="100"/>
      <c r="AP16" s="100"/>
      <c r="AQ16" s="104"/>
      <c r="AR16" s="106"/>
      <c r="AS16" s="104"/>
      <c r="AT16" s="104"/>
      <c r="AU16" s="62"/>
      <c r="AV16" s="64">
        <f>60*1</f>
        <v>60</v>
      </c>
      <c r="AW16" s="64">
        <f>60*2</f>
        <v>120</v>
      </c>
      <c r="AX16" s="64">
        <f>60*5</f>
        <v>300</v>
      </c>
      <c r="AY16" s="64">
        <f>60*10</f>
        <v>600</v>
      </c>
      <c r="AZ16" s="64">
        <f>60*20</f>
        <v>1200</v>
      </c>
      <c r="BA16" s="64">
        <f>60*30</f>
        <v>1800</v>
      </c>
      <c r="BB16" s="64">
        <f>60*60</f>
        <v>3600</v>
      </c>
      <c r="BC16" s="65"/>
      <c r="BD16" s="65"/>
      <c r="BE16" s="65"/>
      <c r="BF16" s="65"/>
      <c r="BG16" s="65"/>
      <c r="BH16" s="65"/>
      <c r="BI16" s="65"/>
      <c r="BJ16" s="65"/>
      <c r="BK16" s="65"/>
      <c r="BL16" s="61"/>
      <c r="BM16" s="61"/>
      <c r="BN16" s="61"/>
      <c r="BO16" s="61"/>
      <c r="BP16" s="61"/>
      <c r="BQ16" s="61"/>
      <c r="BR16" s="61"/>
      <c r="BS16" s="61"/>
      <c r="BT16" s="61"/>
      <c r="BU16" s="61"/>
      <c r="BV16" s="61"/>
      <c r="BW16" s="61"/>
      <c r="BX16" s="61"/>
      <c r="BY16" s="61"/>
      <c r="BZ16" s="61"/>
      <c r="CA16" s="61"/>
      <c r="CB16" s="61"/>
      <c r="CC16" s="61"/>
      <c r="CD16" s="61"/>
      <c r="CE16" s="61"/>
      <c r="CF16" s="61"/>
      <c r="CG16" s="61"/>
      <c r="CH16" s="61"/>
      <c r="CI16" s="61"/>
      <c r="CJ16" s="61"/>
      <c r="CK16" s="61"/>
      <c r="CL16" s="61"/>
      <c r="CM16" s="61"/>
      <c r="CN16" s="61"/>
      <c r="CO16" s="61"/>
      <c r="CP16" s="61"/>
      <c r="CQ16" s="61"/>
      <c r="CR16" s="59"/>
      <c r="CS16" s="59"/>
      <c r="CT16" s="59"/>
      <c r="CU16" s="59"/>
    </row>
    <row r="17" spans="1:99" s="60" customFormat="1" ht="12" customHeight="1" x14ac:dyDescent="0.2">
      <c r="A17" s="94">
        <v>43509</v>
      </c>
      <c r="B17" s="101" t="s">
        <v>203</v>
      </c>
      <c r="C17" s="101" t="s">
        <v>204</v>
      </c>
      <c r="D17" s="77">
        <v>1972</v>
      </c>
      <c r="E17" s="98">
        <v>1</v>
      </c>
      <c r="F17" s="77">
        <v>17</v>
      </c>
      <c r="G17" s="77">
        <v>17</v>
      </c>
      <c r="H17" s="77" t="s">
        <v>25</v>
      </c>
      <c r="I17" s="77" t="s">
        <v>212</v>
      </c>
      <c r="J17" s="77" t="s">
        <v>12</v>
      </c>
      <c r="K17" s="77" t="str">
        <f>IF(J17="syllables","1",IF(J17="trigrams","2",IF(J17="strings","3",IF(J17="visual array","4",IF(J17="characters","5",IF(J17="letters","6",IF(J17="free forms","7",IF(J17="odors","8",IF(J17="words","9",IF(J17="pictures","10",IF(J17="object pictures","11",IF(J17="faces","12",IF(J17="names","13",IF(J17="idioms","14",IF(J17="grades","15",IF(J17="syllable-digit pairs","16",IF(J17="trigram-word pairs","17",IF(J17="word-digit pairs","18",IF(J17="English-Swahili pairs","19",IF(J17="spatial position","20",IF(J17="word pairs","21",IF(J17="word triads","22",IF(J17="generated words","23",IF(J17="word definition pairs","24",IF(J17="math problems","25",IF(J17="famous faces","26",IF(J17="famous names","27",IF(J17="famous voices","28",IF(J17="television programs","29",IF(J17="race horses","30",IF(J17="new vocabulary","31",IF(J17="sentences","32",IF(J17="concepts","33",IF(J17="ad slides","34",IF(J17="scenes","35",IF(J17="famous scenes","36",IF(J17="poems","37",IF(J17="walk","38",IF(J17="faces and events","39",IF(J17="events and names","40",IF(J17="flashbulb","41",IF(J17="stories","42",IF(J17="course material","43",IF(J17="autobiographical","44",IF(J17="novels","45",IF(J17="public events","46",IF(J17="order","90","99")))))))))))))))))))))))))))))))))))))))))))))))</f>
        <v>9</v>
      </c>
      <c r="L17" s="77" t="str">
        <f>IF(J17="syllables","1",IF(J17="trigrams","1",IF(J17="strings","1",IF(J17="visual array","1",IF(J17="characters","1",IF(J17="letters","1",IF(J17="free forms","1",IF(J17="odors","2",IF(J17="words","2",IF(J17="pictures","2",IF(J17="object pictures","2",IF(J17="faces","2",IF(J17="names","2",IF(J17="idioms","2",IF(J17="grades","2",IF(J17="syllable-digit pairs","3",IF(J17="trigram-word pairs","3",IF(J17="word-digit pairs","3",IF(J17="English-Swahili pairs","3",IF(J17="spatial position","3",IF(J17="word pairs","4",IF(J17="word triads","4",IF(J17="generated words","4",IF(J17="word definition pairs","4",IF(J17="math problems","4",IF(J17="famous faces","4",IF(J17="famous names","4",IF(J17="famous voices","4",IF(J17="television programs","4",IF(J17="race horses","4",IF(J17="new vocabulary","4",IF(J17="sentences","5",IF(J17="concepts","5",IF(J17="ad slides","5",IF(J17="scenes","5",IF(J17="famous scenes","5",IF(J17="poems","6",IF(J17="walk","6",IF(J17="faces and events","6",IF(J17="events and names","6",IF(J17="flashbulb","7",IF(J17="stories","7",IF(J17="course material","7",IF(J17="autobiographical","7",IF(J17="novels","7",IF(J17="public events","7",IF(J17="order","90","99")))))))))))))))))))))))))))))))))))))))))))))))</f>
        <v>2</v>
      </c>
      <c r="M17" s="77" t="s">
        <v>213</v>
      </c>
      <c r="N17" s="77">
        <v>3</v>
      </c>
      <c r="O17" s="77" t="s">
        <v>195</v>
      </c>
      <c r="P17" s="77"/>
      <c r="Q17" s="77" t="s">
        <v>18</v>
      </c>
      <c r="R17" s="77" t="str">
        <f>IF(Q17="Free Recall","1",IF(Q17="Cued Recall","2",IF(Q17="Recognition","3",IF(Q17="Multiple Choice","4",IF(Q17="Savings","5",IF(Q17="Stem Completion","6",IF(Q17="Fragment Completion","7",IF(Q17="anagram solution","8",IF(Q17="Matching","9",IF(Q17="Problem Solving","10","99"))))))))))</f>
        <v>3</v>
      </c>
      <c r="S17" s="77" t="s">
        <v>196</v>
      </c>
      <c r="T17" s="96" t="s">
        <v>132</v>
      </c>
      <c r="U17" s="32">
        <f>IF(T17="within",1,0)</f>
        <v>1</v>
      </c>
      <c r="V17" s="96">
        <v>400</v>
      </c>
      <c r="W17" s="77">
        <f>F17*V17</f>
        <v>6800</v>
      </c>
      <c r="X17" s="77">
        <v>7</v>
      </c>
      <c r="Y17" s="98">
        <f>AV16</f>
        <v>60</v>
      </c>
      <c r="Z17" s="77" t="s">
        <v>214</v>
      </c>
      <c r="AA17" s="77">
        <v>3600</v>
      </c>
      <c r="AB17" s="77" t="str">
        <f>IF(AA17&lt;60,"1",IF(AA17&lt;=43200,"2",IF(AA17&lt;=777600,"3","4")))</f>
        <v>2</v>
      </c>
      <c r="AC17" s="100">
        <f>AVERAGE(AV16:DA16)</f>
        <v>1097.1428571428571</v>
      </c>
      <c r="AD17" s="77" t="str">
        <f>IF(AC17&lt;60,"1",IF(AC17&lt;=43200,"2",IF(AC17&lt;=777600,"3","4")))</f>
        <v>2</v>
      </c>
      <c r="AE17" s="98">
        <f>AA17-Y17</f>
        <v>3540</v>
      </c>
      <c r="AF17" s="99">
        <f>AV17</f>
        <v>2.78</v>
      </c>
      <c r="AG17" s="100">
        <f>((AW17-AV17)+(AX17-AW17)+(AY17-AX17)+(AZ17-AY17)+(BA17-AZ17)+(BB17-BA17))/6</f>
        <v>-0.25166666666666665</v>
      </c>
      <c r="AH17" s="84"/>
      <c r="AI17" s="100">
        <f>RSQ(AV17:BB17,AV16:BB16)</f>
        <v>0.66459601973973181</v>
      </c>
      <c r="AJ17" s="105">
        <f>SLOPE(AV17:BB17,AV16:BB16)</f>
        <v>-3.9013421155140052E-4</v>
      </c>
      <c r="AK17" s="100">
        <f>INTERCEPT(AV17:BB17,AV16:BB16)</f>
        <v>2.3751758206735367</v>
      </c>
      <c r="AL17" s="100">
        <f>INDEX(LINEST(LN(AV17:BB17),LN(AV16:BB16),TRUE,TRUE),3,1)</f>
        <v>0.96920333636408962</v>
      </c>
      <c r="AM17" s="100">
        <f>INDEX(LINEST(LN(AV17:BB17),LN(AV16:BB16)),1)</f>
        <v>-0.20725283363153152</v>
      </c>
      <c r="AN17" s="100">
        <f>EXP(INDEX(LINEST(LN(AV17:BB17),LN(AV16:BB16)),1,2))</f>
        <v>6.8230700087930396</v>
      </c>
      <c r="AO17" s="104">
        <f>INDEX(LINEST((AV17:BB17),LN(AV16:BB16),TRUE,TRUE),3,1)</f>
        <v>0.96577148825203041</v>
      </c>
      <c r="AP17" s="104">
        <f>INDEX(LINEST((AV17:BB17),LN(AV16:BB16)),1)</f>
        <v>-0.40398440341939534</v>
      </c>
      <c r="AQ17" s="48">
        <f>INDEX(LINEST(LN(AV17:BB17),SQRT(AV16:BB16),TRUE,TRUE),3,1)</f>
        <v>0.90226166984995115</v>
      </c>
      <c r="AR17" s="56">
        <f>INDEX(LINEST(LN(AV17:BB17),SQRT((AV16:BB16))),1)</f>
        <v>-1.5795403162833704E-2</v>
      </c>
      <c r="AS17" s="49">
        <f>INDEX(LINEST(1/(AV17:BB17),1/(SQRT(AV16:BB16)),TRUE,TRUE),3,1)</f>
        <v>0.81317732005505994</v>
      </c>
      <c r="AT17" s="49">
        <f>INDEX(LINEST(1/(AV17:BB17),1/SQRT(AV16:BB16)),1)</f>
        <v>-3.6980304238663213</v>
      </c>
      <c r="AU17" s="63"/>
      <c r="AV17" s="65">
        <v>2.78</v>
      </c>
      <c r="AW17" s="65">
        <v>2.7</v>
      </c>
      <c r="AX17" s="65">
        <v>2.1</v>
      </c>
      <c r="AY17" s="65">
        <v>1.76</v>
      </c>
      <c r="AZ17" s="65">
        <v>1.68</v>
      </c>
      <c r="BA17" s="65">
        <v>1.34</v>
      </c>
      <c r="BB17" s="65">
        <v>1.27</v>
      </c>
      <c r="BC17" s="65"/>
      <c r="BD17" s="65"/>
      <c r="BE17" s="65"/>
      <c r="BF17" s="65"/>
      <c r="BG17" s="65"/>
      <c r="BH17" s="65"/>
      <c r="BI17" s="65"/>
      <c r="BJ17" s="65"/>
      <c r="BK17" s="65"/>
      <c r="BL17" s="61"/>
      <c r="BM17" s="61"/>
      <c r="BN17" s="61"/>
      <c r="BO17" s="61"/>
      <c r="BP17" s="61"/>
      <c r="BQ17" s="61"/>
      <c r="BR17" s="61"/>
      <c r="BS17" s="61"/>
      <c r="BT17" s="61"/>
      <c r="BU17" s="61"/>
      <c r="BV17" s="61"/>
      <c r="BW17" s="61"/>
      <c r="BX17" s="61"/>
      <c r="BY17" s="61"/>
      <c r="BZ17" s="61"/>
      <c r="CA17" s="61"/>
      <c r="CB17" s="61"/>
      <c r="CC17" s="61"/>
      <c r="CD17" s="61"/>
      <c r="CE17" s="61"/>
      <c r="CF17" s="61"/>
      <c r="CG17" s="61"/>
      <c r="CH17" s="61"/>
      <c r="CI17" s="61"/>
      <c r="CJ17" s="61"/>
      <c r="CK17" s="61"/>
      <c r="CL17" s="61"/>
      <c r="CM17" s="61"/>
      <c r="CN17" s="61"/>
      <c r="CO17" s="61"/>
      <c r="CP17" s="61"/>
      <c r="CQ17" s="61"/>
      <c r="CR17" s="59"/>
      <c r="CS17" s="59"/>
      <c r="CT17" s="59"/>
      <c r="CU17" s="59"/>
    </row>
    <row r="18" spans="1:99" s="60" customFormat="1" ht="12" customHeight="1" x14ac:dyDescent="0.2">
      <c r="A18" s="94">
        <v>43509</v>
      </c>
      <c r="B18" s="101"/>
      <c r="C18" s="101"/>
      <c r="D18" s="77"/>
      <c r="E18" s="98"/>
      <c r="F18" s="77"/>
      <c r="G18" s="77"/>
      <c r="H18" s="77"/>
      <c r="I18" s="77"/>
      <c r="J18" s="77"/>
      <c r="K18" s="102"/>
      <c r="L18" s="102"/>
      <c r="M18" s="77"/>
      <c r="N18" s="77"/>
      <c r="O18" s="77"/>
      <c r="P18" s="77"/>
      <c r="Q18" s="77"/>
      <c r="R18" s="77"/>
      <c r="S18" s="77"/>
      <c r="T18" s="96"/>
      <c r="U18" s="32"/>
      <c r="V18" s="77"/>
      <c r="W18" s="77"/>
      <c r="X18" s="77"/>
      <c r="Y18" s="98"/>
      <c r="Z18" s="77"/>
      <c r="AA18" s="77"/>
      <c r="AB18" s="77"/>
      <c r="AC18" s="77"/>
      <c r="AD18" s="77"/>
      <c r="AE18" s="77"/>
      <c r="AF18" s="99"/>
      <c r="AG18" s="100"/>
      <c r="AH18" s="84"/>
      <c r="AI18" s="100"/>
      <c r="AJ18" s="105"/>
      <c r="AK18" s="100"/>
      <c r="AL18" s="100"/>
      <c r="AM18" s="100"/>
      <c r="AN18" s="100"/>
      <c r="AO18" s="100"/>
      <c r="AP18" s="100"/>
      <c r="AQ18" s="100"/>
      <c r="AR18" s="105"/>
      <c r="AS18" s="100"/>
      <c r="AT18" s="100"/>
      <c r="AU18" s="62"/>
      <c r="AV18" s="64">
        <f>60*3</f>
        <v>180</v>
      </c>
      <c r="AW18" s="64">
        <f>60*6</f>
        <v>360</v>
      </c>
      <c r="AX18" s="64">
        <f>60*12</f>
        <v>720</v>
      </c>
      <c r="AY18" s="64">
        <f>60*22</f>
        <v>1320</v>
      </c>
      <c r="AZ18" s="64">
        <f>60*60</f>
        <v>3600</v>
      </c>
      <c r="BA18" s="65"/>
      <c r="BB18" s="65"/>
      <c r="BC18" s="65"/>
      <c r="BD18" s="65"/>
      <c r="BE18" s="65"/>
      <c r="BF18" s="65"/>
      <c r="BG18" s="65"/>
      <c r="BH18" s="65"/>
      <c r="BI18" s="65"/>
      <c r="BJ18" s="65"/>
      <c r="BK18" s="65"/>
      <c r="BL18" s="61"/>
      <c r="BM18" s="61"/>
      <c r="BN18" s="61"/>
      <c r="BO18" s="61"/>
      <c r="BP18" s="61"/>
      <c r="BQ18" s="61"/>
      <c r="BR18" s="61"/>
      <c r="BS18" s="61"/>
      <c r="BT18" s="61"/>
      <c r="BU18" s="61"/>
      <c r="BV18" s="61"/>
      <c r="BW18" s="61"/>
      <c r="BX18" s="61"/>
      <c r="BY18" s="61"/>
      <c r="BZ18" s="61"/>
      <c r="CA18" s="61"/>
      <c r="CB18" s="61"/>
      <c r="CC18" s="61"/>
      <c r="CD18" s="61"/>
      <c r="CE18" s="61"/>
      <c r="CF18" s="61"/>
      <c r="CG18" s="61"/>
      <c r="CH18" s="61"/>
      <c r="CI18" s="61"/>
      <c r="CJ18" s="61"/>
      <c r="CK18" s="61"/>
      <c r="CL18" s="61"/>
      <c r="CM18" s="61"/>
      <c r="CN18" s="61"/>
      <c r="CO18" s="61"/>
      <c r="CP18" s="61"/>
      <c r="CQ18" s="61"/>
      <c r="CR18" s="59"/>
      <c r="CS18" s="59"/>
      <c r="CT18" s="59"/>
      <c r="CU18" s="59"/>
    </row>
    <row r="19" spans="1:99" s="60" customFormat="1" ht="12" customHeight="1" x14ac:dyDescent="0.2">
      <c r="A19" s="94">
        <v>43509</v>
      </c>
      <c r="B19" s="101" t="s">
        <v>203</v>
      </c>
      <c r="C19" s="101" t="s">
        <v>204</v>
      </c>
      <c r="D19" s="77">
        <v>1972</v>
      </c>
      <c r="E19" s="98">
        <v>1</v>
      </c>
      <c r="F19" s="77">
        <v>17</v>
      </c>
      <c r="G19" s="77">
        <v>17</v>
      </c>
      <c r="H19" s="77" t="s">
        <v>25</v>
      </c>
      <c r="I19" s="77" t="s">
        <v>215</v>
      </c>
      <c r="J19" s="77" t="s">
        <v>12</v>
      </c>
      <c r="K19" s="77" t="str">
        <f>IF(J19="syllables","1",IF(J19="trigrams","2",IF(J19="strings","3",IF(J19="visual array","4",IF(J19="characters","5",IF(J19="letters","6",IF(J19="free forms","7",IF(J19="odors","8",IF(J19="words","9",IF(J19="pictures","10",IF(J19="object pictures","11",IF(J19="faces","12",IF(J19="names","13",IF(J19="idioms","14",IF(J19="grades","15",IF(J19="syllable-digit pairs","16",IF(J19="trigram-word pairs","17",IF(J19="word-digit pairs","18",IF(J19="English-Swahili pairs","19",IF(J19="spatial position","20",IF(J19="word pairs","21",IF(J19="word triads","22",IF(J19="generated words","23",IF(J19="word definition pairs","24",IF(J19="math problems","25",IF(J19="famous faces","26",IF(J19="famous names","27",IF(J19="famous voices","28",IF(J19="television programs","29",IF(J19="race horses","30",IF(J19="new vocabulary","31",IF(J19="sentences","32",IF(J19="concepts","33",IF(J19="ad slides","34",IF(J19="scenes","35",IF(J19="famous scenes","36",IF(J19="poems","37",IF(J19="walk","38",IF(J19="faces and events","39",IF(J19="events and names","40",IF(J19="flashbulb","41",IF(J19="stories","42",IF(J19="course material","43",IF(J19="autobiographical","44",IF(J19="novels","45",IF(J19="public events","46",IF(J19="order","90","99")))))))))))))))))))))))))))))))))))))))))))))))</f>
        <v>9</v>
      </c>
      <c r="L19" s="77" t="str">
        <f>IF(J19="syllables","1",IF(J19="trigrams","1",IF(J19="strings","1",IF(J19="visual array","1",IF(J19="characters","1",IF(J19="letters","1",IF(J19="free forms","1",IF(J19="odors","2",IF(J19="words","2",IF(J19="pictures","2",IF(J19="object pictures","2",IF(J19="faces","2",IF(J19="names","2",IF(J19="idioms","2",IF(J19="grades","2",IF(J19="syllable-digit pairs","3",IF(J19="trigram-word pairs","3",IF(J19="word-digit pairs","3",IF(J19="English-Swahili pairs","3",IF(J19="spatial position","3",IF(J19="word pairs","4",IF(J19="word triads","4",IF(J19="generated words","4",IF(J19="word definition pairs","4",IF(J19="math problems","4",IF(J19="famous faces","4",IF(J19="famous names","4",IF(J19="famous voices","4",IF(J19="television programs","4",IF(J19="race horses","4",IF(J19="new vocabulary","4",IF(J19="sentences","5",IF(J19="concepts","5",IF(J19="ad slides","5",IF(J19="scenes","5",IF(J19="famous scenes","5",IF(J19="poems","6",IF(J19="walk","6",IF(J19="faces and events","6",IF(J19="events and names","6",IF(J19="flashbulb","7",IF(J19="stories","7",IF(J19="course material","7",IF(J19="autobiographical","7",IF(J19="novels","7",IF(J19="public events","7",IF(J19="order","90","99")))))))))))))))))))))))))))))))))))))))))))))))</f>
        <v>2</v>
      </c>
      <c r="M19" s="77" t="s">
        <v>213</v>
      </c>
      <c r="N19" s="77">
        <v>3</v>
      </c>
      <c r="O19" s="77" t="s">
        <v>195</v>
      </c>
      <c r="P19" s="77"/>
      <c r="Q19" s="77" t="s">
        <v>18</v>
      </c>
      <c r="R19" s="77" t="str">
        <f>IF(Q19="Free Recall","1",IF(Q19="Cued Recall","2",IF(Q19="Recognition","3",IF(Q19="Multiple Choice","4",IF(Q19="Savings","5",IF(Q19="Stem Completion","6",IF(Q19="Fragment Completion","7",IF(Q19="anagram solution","8",IF(Q19="Matching","9",IF(Q19="Problem Solving","10","99"))))))))))</f>
        <v>3</v>
      </c>
      <c r="S19" s="77" t="s">
        <v>196</v>
      </c>
      <c r="T19" s="96" t="s">
        <v>132</v>
      </c>
      <c r="U19" s="32">
        <f>IF(T19="within",1,0)</f>
        <v>1</v>
      </c>
      <c r="V19" s="96">
        <v>400</v>
      </c>
      <c r="W19" s="77">
        <f>F19*V19</f>
        <v>6800</v>
      </c>
      <c r="X19" s="77">
        <v>5</v>
      </c>
      <c r="Y19" s="98">
        <f>AV18</f>
        <v>180</v>
      </c>
      <c r="Z19" s="77" t="s">
        <v>214</v>
      </c>
      <c r="AA19" s="77">
        <v>3600</v>
      </c>
      <c r="AB19" s="77" t="str">
        <f>IF(AA19&lt;60,"1",IF(AA19&lt;=43200,"2",IF(AA19&lt;=777600,"3","4")))</f>
        <v>2</v>
      </c>
      <c r="AC19" s="100">
        <f>AVERAGE(AV18:DA18)</f>
        <v>1236</v>
      </c>
      <c r="AD19" s="77" t="str">
        <f>IF(AC19&lt;60,"1",IF(AC19&lt;=43200,"2",IF(AC19&lt;=777600,"3","4")))</f>
        <v>2</v>
      </c>
      <c r="AE19" s="98">
        <f>AA19-Y19</f>
        <v>3420</v>
      </c>
      <c r="AF19" s="99">
        <f>AV19</f>
        <v>3.15</v>
      </c>
      <c r="AG19" s="100">
        <f>((AW19-AV19)+(AX19-AW19)+(AY19-AX19)+(AZ19-AY19))/4</f>
        <v>-0.36</v>
      </c>
      <c r="AH19" s="84"/>
      <c r="AI19" s="100">
        <f>RSQ(AV19:AZ19,AV18:AZ18)</f>
        <v>0.77880050537179812</v>
      </c>
      <c r="AJ19" s="105">
        <f>SLOPE(AV19:AZ19,AV18:AZ18)</f>
        <v>-3.4926242717243092E-4</v>
      </c>
      <c r="AK19" s="100">
        <f>INTERCEPT(AV19:AZ19,AV18:AZ18)</f>
        <v>2.8416883599851248</v>
      </c>
      <c r="AL19" s="100">
        <f>INDEX(LINEST(LN(AV19:AZ19),LN(AV18:AZ18),TRUE,TRUE),3,1)</f>
        <v>0.99653752980585375</v>
      </c>
      <c r="AM19" s="100">
        <f>INDEX(LINEST(LN(AV19:AZ19),LN(AV18:AZ18)),1)</f>
        <v>-0.20172665350125502</v>
      </c>
      <c r="AN19" s="100">
        <f>EXP(INDEX(LINEST(LN(AV19:AZ19),LN(AV18:AZ18)),1,2))</f>
        <v>8.9426455831887282</v>
      </c>
      <c r="AO19" s="104">
        <f>INDEX(LINEST((AV19:AZ19),LN(AV18:AZ18),TRUE,TRUE),3,1)</f>
        <v>0.98797690791448167</v>
      </c>
      <c r="AP19" s="104">
        <f>INDEX(LINEST((AV19:AZ19),LN(AV18:AZ18)),1)</f>
        <v>-0.47301334182815136</v>
      </c>
      <c r="AQ19" s="48">
        <f>INDEX(LINEST(LN(AV19:AZ19),SQRT(AV18:AZ18),TRUE,TRUE),3,1)</f>
        <v>0.95131764731326651</v>
      </c>
      <c r="AR19" s="56">
        <f>INDEX(LINEST(LN(AV19:AZ19),SQRT((AV18:AZ18))),1)</f>
        <v>-1.2458579930354381E-2</v>
      </c>
      <c r="AS19" s="49">
        <f>INDEX(LINEST(1/(AV19:AZ19),1/(SQRT(AV18:AZ18)),TRUE,TRUE),3,1)</f>
        <v>0.89368682116037146</v>
      </c>
      <c r="AT19" s="49">
        <f>INDEX(LINEST(1/(AV19:AZ19),1/SQRT(AV18:AZ18)),1)</f>
        <v>-4.3046077685682267</v>
      </c>
      <c r="AU19" s="63"/>
      <c r="AV19" s="65">
        <v>3.15</v>
      </c>
      <c r="AW19" s="65">
        <v>2.68</v>
      </c>
      <c r="AX19" s="65">
        <v>2.42</v>
      </c>
      <c r="AY19" s="65">
        <v>2.09</v>
      </c>
      <c r="AZ19" s="65">
        <v>1.71</v>
      </c>
      <c r="BA19" s="65"/>
      <c r="BB19" s="65"/>
      <c r="BC19" s="65"/>
      <c r="BD19" s="65"/>
      <c r="BE19" s="65"/>
      <c r="BF19" s="65"/>
      <c r="BG19" s="65"/>
      <c r="BH19" s="65"/>
      <c r="BI19" s="65"/>
      <c r="BJ19" s="65"/>
      <c r="BK19" s="65"/>
      <c r="BL19" s="61"/>
      <c r="BM19" s="61"/>
      <c r="BN19" s="61"/>
      <c r="BO19" s="61"/>
      <c r="BP19" s="61"/>
      <c r="BQ19" s="61"/>
      <c r="BR19" s="61"/>
      <c r="BS19" s="61"/>
      <c r="BT19" s="61"/>
      <c r="BU19" s="61"/>
      <c r="BV19" s="61"/>
      <c r="BW19" s="61"/>
      <c r="BX19" s="61"/>
      <c r="BY19" s="61"/>
      <c r="BZ19" s="61"/>
      <c r="CA19" s="61"/>
      <c r="CB19" s="61"/>
      <c r="CC19" s="61"/>
      <c r="CD19" s="61"/>
      <c r="CE19" s="61"/>
      <c r="CF19" s="61"/>
      <c r="CG19" s="61"/>
      <c r="CH19" s="61"/>
      <c r="CI19" s="61"/>
      <c r="CJ19" s="61"/>
      <c r="CK19" s="61"/>
      <c r="CL19" s="61"/>
      <c r="CM19" s="61"/>
      <c r="CN19" s="61"/>
      <c r="CO19" s="61"/>
      <c r="CP19" s="61"/>
      <c r="CQ19" s="61"/>
      <c r="CR19" s="59"/>
      <c r="CS19" s="59"/>
      <c r="CT19" s="59"/>
      <c r="CU19" s="59"/>
    </row>
    <row r="20" spans="1:99" s="60" customFormat="1" ht="12" customHeight="1" x14ac:dyDescent="0.2">
      <c r="A20" s="94">
        <v>43509</v>
      </c>
      <c r="B20" s="101"/>
      <c r="C20" s="101"/>
      <c r="D20" s="77"/>
      <c r="E20" s="98"/>
      <c r="F20" s="77"/>
      <c r="G20" s="77"/>
      <c r="H20" s="77"/>
      <c r="I20" s="77"/>
      <c r="J20" s="77"/>
      <c r="K20" s="102"/>
      <c r="L20" s="102"/>
      <c r="M20" s="77"/>
      <c r="N20" s="77"/>
      <c r="O20" s="77"/>
      <c r="P20" s="77"/>
      <c r="Q20" s="77"/>
      <c r="R20" s="77"/>
      <c r="S20" s="77"/>
      <c r="T20" s="96"/>
      <c r="U20" s="32"/>
      <c r="V20" s="77"/>
      <c r="W20" s="77"/>
      <c r="X20" s="77"/>
      <c r="Y20" s="98"/>
      <c r="Z20" s="77"/>
      <c r="AA20" s="77"/>
      <c r="AB20" s="77"/>
      <c r="AC20" s="77"/>
      <c r="AD20" s="77"/>
      <c r="AE20" s="77"/>
      <c r="AF20" s="99"/>
      <c r="AG20" s="100"/>
      <c r="AH20" s="84"/>
      <c r="AI20" s="100"/>
      <c r="AJ20" s="105"/>
      <c r="AK20" s="100"/>
      <c r="AL20" s="100"/>
      <c r="AM20" s="100"/>
      <c r="AN20" s="100"/>
      <c r="AO20" s="100"/>
      <c r="AP20" s="100"/>
      <c r="AQ20" s="100"/>
      <c r="AR20" s="105"/>
      <c r="AS20" s="100"/>
      <c r="AT20" s="100"/>
      <c r="AU20" s="62"/>
      <c r="AV20" s="64">
        <f>60*4</f>
        <v>240</v>
      </c>
      <c r="AW20" s="64">
        <f>60*8</f>
        <v>480</v>
      </c>
      <c r="AX20" s="64">
        <f>60*12</f>
        <v>720</v>
      </c>
      <c r="AY20" s="64">
        <f>60*24</f>
        <v>1440</v>
      </c>
      <c r="AZ20" s="64">
        <f>60*32</f>
        <v>1920</v>
      </c>
      <c r="BA20" s="64">
        <f>60*64</f>
        <v>3840</v>
      </c>
      <c r="BB20" s="65"/>
      <c r="BC20" s="65"/>
      <c r="BD20" s="65"/>
      <c r="BE20" s="65"/>
      <c r="BF20" s="65"/>
      <c r="BG20" s="65"/>
      <c r="BH20" s="65"/>
      <c r="BI20" s="65"/>
      <c r="BJ20" s="65"/>
      <c r="BK20" s="65"/>
      <c r="BL20" s="61"/>
      <c r="BM20" s="61"/>
      <c r="BN20" s="61"/>
      <c r="BO20" s="61"/>
      <c r="BP20" s="61"/>
      <c r="BQ20" s="61"/>
      <c r="BR20" s="61"/>
      <c r="BS20" s="61"/>
      <c r="BT20" s="61"/>
      <c r="BU20" s="61"/>
      <c r="BV20" s="61"/>
      <c r="BW20" s="61"/>
      <c r="BX20" s="61"/>
      <c r="BY20" s="61"/>
      <c r="BZ20" s="61"/>
      <c r="CA20" s="61"/>
      <c r="CB20" s="61"/>
      <c r="CC20" s="61"/>
      <c r="CD20" s="61"/>
      <c r="CE20" s="61"/>
      <c r="CF20" s="61"/>
      <c r="CG20" s="61"/>
      <c r="CH20" s="61"/>
      <c r="CI20" s="61"/>
      <c r="CJ20" s="61"/>
      <c r="CK20" s="61"/>
      <c r="CL20" s="61"/>
      <c r="CM20" s="61"/>
      <c r="CN20" s="61"/>
      <c r="CO20" s="61"/>
      <c r="CP20" s="61"/>
      <c r="CQ20" s="61"/>
      <c r="CR20" s="59"/>
      <c r="CS20" s="59"/>
      <c r="CT20" s="59"/>
      <c r="CU20" s="59"/>
    </row>
    <row r="21" spans="1:99" s="60" customFormat="1" ht="12" customHeight="1" x14ac:dyDescent="0.2">
      <c r="A21" s="94">
        <v>43509</v>
      </c>
      <c r="B21" s="101" t="s">
        <v>203</v>
      </c>
      <c r="C21" s="101" t="s">
        <v>204</v>
      </c>
      <c r="D21" s="77">
        <v>1972</v>
      </c>
      <c r="E21" s="98">
        <v>1</v>
      </c>
      <c r="F21" s="77">
        <v>17</v>
      </c>
      <c r="G21" s="77">
        <v>17</v>
      </c>
      <c r="H21" s="77" t="s">
        <v>25</v>
      </c>
      <c r="I21" s="77" t="s">
        <v>216</v>
      </c>
      <c r="J21" s="77" t="s">
        <v>12</v>
      </c>
      <c r="K21" s="77" t="str">
        <f>IF(J21="syllables","1",IF(J21="trigrams","2",IF(J21="strings","3",IF(J21="visual array","4",IF(J21="characters","5",IF(J21="letters","6",IF(J21="free forms","7",IF(J21="odors","8",IF(J21="words","9",IF(J21="pictures","10",IF(J21="object pictures","11",IF(J21="faces","12",IF(J21="names","13",IF(J21="idioms","14",IF(J21="grades","15",IF(J21="syllable-digit pairs","16",IF(J21="trigram-word pairs","17",IF(J21="word-digit pairs","18",IF(J21="English-Swahili pairs","19",IF(J21="spatial position","20",IF(J21="word pairs","21",IF(J21="word triads","22",IF(J21="generated words","23",IF(J21="word definition pairs","24",IF(J21="math problems","25",IF(J21="famous faces","26",IF(J21="famous names","27",IF(J21="famous voices","28",IF(J21="television programs","29",IF(J21="race horses","30",IF(J21="new vocabulary","31",IF(J21="sentences","32",IF(J21="concepts","33",IF(J21="ad slides","34",IF(J21="scenes","35",IF(J21="famous scenes","36",IF(J21="poems","37",IF(J21="walk","38",IF(J21="faces and events","39",IF(J21="events and names","40",IF(J21="flashbulb","41",IF(J21="stories","42",IF(J21="course material","43",IF(J21="autobiographical","44",IF(J21="novels","45",IF(J21="public events","46",IF(J21="order","90","99")))))))))))))))))))))))))))))))))))))))))))))))</f>
        <v>9</v>
      </c>
      <c r="L21" s="77" t="str">
        <f>IF(J21="syllables","1",IF(J21="trigrams","1",IF(J21="strings","1",IF(J21="visual array","1",IF(J21="characters","1",IF(J21="letters","1",IF(J21="free forms","1",IF(J21="odors","2",IF(J21="words","2",IF(J21="pictures","2",IF(J21="object pictures","2",IF(J21="faces","2",IF(J21="names","2",IF(J21="idioms","2",IF(J21="grades","2",IF(J21="syllable-digit pairs","3",IF(J21="trigram-word pairs","3",IF(J21="word-digit pairs","3",IF(J21="English-Swahili pairs","3",IF(J21="spatial position","3",IF(J21="word pairs","4",IF(J21="word triads","4",IF(J21="generated words","4",IF(J21="word definition pairs","4",IF(J21="math problems","4",IF(J21="famous faces","4",IF(J21="famous names","4",IF(J21="famous voices","4",IF(J21="television programs","4",IF(J21="race horses","4",IF(J21="new vocabulary","4",IF(J21="sentences","5",IF(J21="concepts","5",IF(J21="ad slides","5",IF(J21="scenes","5",IF(J21="famous scenes","5",IF(J21="poems","6",IF(J21="walk","6",IF(J21="faces and events","6",IF(J21="events and names","6",IF(J21="flashbulb","7",IF(J21="stories","7",IF(J21="course material","7",IF(J21="autobiographical","7",IF(J21="novels","7",IF(J21="public events","7",IF(J21="order","90","99")))))))))))))))))))))))))))))))))))))))))))))))</f>
        <v>2</v>
      </c>
      <c r="M21" s="77" t="s">
        <v>213</v>
      </c>
      <c r="N21" s="77">
        <v>3</v>
      </c>
      <c r="O21" s="77" t="s">
        <v>195</v>
      </c>
      <c r="P21" s="77"/>
      <c r="Q21" s="77" t="s">
        <v>18</v>
      </c>
      <c r="R21" s="77" t="str">
        <f>IF(Q21="Free Recall","1",IF(Q21="Cued Recall","2",IF(Q21="Recognition","3",IF(Q21="Multiple Choice","4",IF(Q21="Savings","5",IF(Q21="Stem Completion","6",IF(Q21="Fragment Completion","7",IF(Q21="anagram solution","8",IF(Q21="Matching","9",IF(Q21="Problem Solving","10","99"))))))))))</f>
        <v>3</v>
      </c>
      <c r="S21" s="77" t="s">
        <v>196</v>
      </c>
      <c r="T21" s="96" t="s">
        <v>132</v>
      </c>
      <c r="U21" s="32">
        <f>IF(T21="within",1,0)</f>
        <v>1</v>
      </c>
      <c r="V21" s="96">
        <v>400</v>
      </c>
      <c r="W21" s="77">
        <f>F21*V21</f>
        <v>6800</v>
      </c>
      <c r="X21" s="77">
        <v>6</v>
      </c>
      <c r="Y21" s="98">
        <f>AV20</f>
        <v>240</v>
      </c>
      <c r="Z21" s="77" t="s">
        <v>217</v>
      </c>
      <c r="AA21" s="77">
        <v>3840</v>
      </c>
      <c r="AB21" s="77" t="str">
        <f>IF(AA21&lt;60,"1",IF(AA21&lt;=43200,"2",IF(AA21&lt;=777600,"3","4")))</f>
        <v>2</v>
      </c>
      <c r="AC21" s="100">
        <f>AVERAGE(AV20:DA20)</f>
        <v>1440</v>
      </c>
      <c r="AD21" s="77" t="str">
        <f>IF(AC21&lt;60,"1",IF(AC21&lt;=43200,"2",IF(AC21&lt;=777600,"3","4")))</f>
        <v>2</v>
      </c>
      <c r="AE21" s="98">
        <f>AA21-Y21</f>
        <v>3600</v>
      </c>
      <c r="AF21" s="99">
        <f>AV21</f>
        <v>2.96</v>
      </c>
      <c r="AG21" s="100">
        <f>((AW21-AV21)+(AX21-AW21)+(AY21-AX21)+(AZ21-AY21)+(BA21-AZ21))/5</f>
        <v>-0.21799999999999997</v>
      </c>
      <c r="AH21" s="84"/>
      <c r="AI21" s="100">
        <f>RSQ(AV21:BA21,AV20:BA20)</f>
        <v>0.85520310794002941</v>
      </c>
      <c r="AJ21" s="105">
        <f>SLOPE(AV21:BA21,AV20:BA20)</f>
        <v>-2.7732683982683985E-4</v>
      </c>
      <c r="AK21" s="100">
        <f>INTERCEPT(AV21:BA21,AV20:BA20)</f>
        <v>2.8460173160173161</v>
      </c>
      <c r="AL21" s="100">
        <f>INDEX(LINEST(LN(AV21:BA21),LN(AV20:BA20),TRUE,TRUE),3,1)</f>
        <v>0.9404006355561787</v>
      </c>
      <c r="AM21" s="100">
        <f>INDEX(LINEST(LN(AV21:BA21),LN(AV20:BA20)),1)</f>
        <v>-0.16185490444053308</v>
      </c>
      <c r="AN21" s="100">
        <f>EXP(INDEX(LINEST(LN(AV21:BA21),LN(AV20:BA20)),1,2))</f>
        <v>7.3731798039648142</v>
      </c>
      <c r="AO21" s="104">
        <f>INDEX(LINEST((AV21:BA21),LN(AV20:BA20),TRUE,TRUE),3,1)</f>
        <v>0.95617088917038306</v>
      </c>
      <c r="AP21" s="104">
        <f>INDEX(LINEST((AV21:BA21),LN(AV20:BA20)),1)</f>
        <v>-0.38866690388598052</v>
      </c>
      <c r="AQ21" s="48">
        <f>INDEX(LINEST(LN(AV21:BA21),SQRT(AV20:BA20),TRUE,TRUE),3,1)</f>
        <v>0.94697652862615966</v>
      </c>
      <c r="AR21" s="56">
        <f>INDEX(LINEST(LN(AV21:BA21),SQRT((AV20:BA20))),1)</f>
        <v>-9.6458165309292639E-3</v>
      </c>
      <c r="AS21" s="49">
        <f>INDEX(LINEST(1/(AV21:BA21),1/(SQRT(AV20:BA20)),TRUE,TRUE),3,1)</f>
        <v>0.81290932429219231</v>
      </c>
      <c r="AT21" s="49">
        <f>INDEX(LINEST(1/(AV21:BA21),1/SQRT(AV20:BA20)),1)</f>
        <v>-3.6559919438063879</v>
      </c>
      <c r="AU21" s="63"/>
      <c r="AV21" s="65">
        <v>2.96</v>
      </c>
      <c r="AW21" s="65">
        <v>2.77</v>
      </c>
      <c r="AX21" s="65">
        <v>2.57</v>
      </c>
      <c r="AY21" s="65">
        <v>2.19</v>
      </c>
      <c r="AZ21" s="65">
        <v>2.3199999999999998</v>
      </c>
      <c r="BA21" s="65">
        <v>1.87</v>
      </c>
      <c r="BB21" s="65"/>
      <c r="BC21" s="65"/>
      <c r="BD21" s="65"/>
      <c r="BE21" s="65"/>
      <c r="BF21" s="65"/>
      <c r="BG21" s="65"/>
      <c r="BH21" s="65"/>
      <c r="BI21" s="65"/>
      <c r="BJ21" s="65"/>
      <c r="BK21" s="65"/>
      <c r="BL21" s="61"/>
      <c r="BM21" s="61"/>
      <c r="BN21" s="61"/>
      <c r="BO21" s="61"/>
      <c r="BP21" s="61"/>
      <c r="BQ21" s="61"/>
      <c r="BR21" s="61"/>
      <c r="BS21" s="61"/>
      <c r="BT21" s="61"/>
      <c r="BU21" s="61"/>
      <c r="BV21" s="61"/>
      <c r="BW21" s="61"/>
      <c r="BX21" s="61"/>
      <c r="BY21" s="61"/>
      <c r="BZ21" s="61"/>
      <c r="CA21" s="61"/>
      <c r="CB21" s="61"/>
      <c r="CC21" s="61"/>
      <c r="CD21" s="61"/>
      <c r="CE21" s="61"/>
      <c r="CF21" s="61"/>
      <c r="CG21" s="61"/>
      <c r="CH21" s="61"/>
      <c r="CI21" s="61"/>
      <c r="CJ21" s="61"/>
      <c r="CK21" s="61"/>
      <c r="CL21" s="61"/>
      <c r="CM21" s="61"/>
      <c r="CN21" s="61"/>
      <c r="CO21" s="61"/>
      <c r="CP21" s="61"/>
      <c r="CQ21" s="61"/>
      <c r="CR21" s="59"/>
      <c r="CS21" s="59"/>
      <c r="CT21" s="59"/>
      <c r="CU21" s="59"/>
    </row>
    <row r="22" spans="1:99" s="60" customFormat="1" ht="12" customHeight="1" x14ac:dyDescent="0.2">
      <c r="A22" s="94">
        <v>43509</v>
      </c>
      <c r="B22" s="101"/>
      <c r="C22" s="101"/>
      <c r="D22" s="77"/>
      <c r="E22" s="98"/>
      <c r="F22" s="77"/>
      <c r="G22" s="77"/>
      <c r="H22" s="77"/>
      <c r="I22" s="77"/>
      <c r="J22" s="77"/>
      <c r="K22" s="102"/>
      <c r="L22" s="102"/>
      <c r="M22" s="77"/>
      <c r="N22" s="77"/>
      <c r="O22" s="77"/>
      <c r="P22" s="77"/>
      <c r="Q22" s="77"/>
      <c r="R22" s="77"/>
      <c r="S22" s="77"/>
      <c r="T22" s="96"/>
      <c r="U22" s="32"/>
      <c r="V22" s="77"/>
      <c r="W22" s="77"/>
      <c r="X22" s="77"/>
      <c r="Y22" s="98"/>
      <c r="Z22" s="77"/>
      <c r="AA22" s="77"/>
      <c r="AB22" s="77"/>
      <c r="AC22" s="77"/>
      <c r="AD22" s="77"/>
      <c r="AE22" s="77"/>
      <c r="AF22" s="99"/>
      <c r="AG22" s="100"/>
      <c r="AH22" s="84"/>
      <c r="AI22" s="100"/>
      <c r="AJ22" s="105"/>
      <c r="AK22" s="100"/>
      <c r="AL22" s="100"/>
      <c r="AM22" s="100"/>
      <c r="AN22" s="100"/>
      <c r="AO22" s="100"/>
      <c r="AP22" s="100"/>
      <c r="AQ22" s="100"/>
      <c r="AR22" s="105"/>
      <c r="AS22" s="100"/>
      <c r="AT22" s="100"/>
      <c r="AU22" s="62"/>
      <c r="AV22" s="64">
        <f>60*12</f>
        <v>720</v>
      </c>
      <c r="AW22" s="64">
        <f>60*15</f>
        <v>900</v>
      </c>
      <c r="AX22" s="64">
        <f>60*20</f>
        <v>1200</v>
      </c>
      <c r="AY22" s="64">
        <f>60*30</f>
        <v>1800</v>
      </c>
      <c r="AZ22" s="64">
        <f>60*80</f>
        <v>4800</v>
      </c>
      <c r="BA22" s="65"/>
      <c r="BB22" s="65"/>
      <c r="BC22" s="65"/>
      <c r="BD22" s="65"/>
      <c r="BE22" s="65"/>
      <c r="BF22" s="65"/>
      <c r="BG22" s="65"/>
      <c r="BH22" s="65"/>
      <c r="BI22" s="65"/>
      <c r="BJ22" s="65"/>
      <c r="BK22" s="65"/>
      <c r="BL22" s="61"/>
      <c r="BM22" s="61"/>
      <c r="BN22" s="61"/>
      <c r="BO22" s="61"/>
      <c r="BP22" s="61"/>
      <c r="BQ22" s="61"/>
      <c r="BR22" s="61"/>
      <c r="BS22" s="61"/>
      <c r="BT22" s="61"/>
      <c r="BU22" s="61"/>
      <c r="BV22" s="61"/>
      <c r="BW22" s="61"/>
      <c r="BX22" s="61"/>
      <c r="BY22" s="61"/>
      <c r="BZ22" s="61"/>
      <c r="CA22" s="61"/>
      <c r="CB22" s="61"/>
      <c r="CC22" s="61"/>
      <c r="CD22" s="61"/>
      <c r="CE22" s="61"/>
      <c r="CF22" s="61"/>
      <c r="CG22" s="61"/>
      <c r="CH22" s="61"/>
      <c r="CI22" s="61"/>
      <c r="CJ22" s="61"/>
      <c r="CK22" s="61"/>
      <c r="CL22" s="61"/>
      <c r="CM22" s="61"/>
      <c r="CN22" s="61"/>
      <c r="CO22" s="61"/>
      <c r="CP22" s="61"/>
      <c r="CQ22" s="61"/>
      <c r="CR22" s="59"/>
      <c r="CS22" s="59"/>
      <c r="CT22" s="59"/>
      <c r="CU22" s="59"/>
    </row>
    <row r="23" spans="1:99" s="60" customFormat="1" ht="12" customHeight="1" x14ac:dyDescent="0.2">
      <c r="A23" s="94">
        <v>43509</v>
      </c>
      <c r="B23" s="101" t="s">
        <v>203</v>
      </c>
      <c r="C23" s="101" t="s">
        <v>204</v>
      </c>
      <c r="D23" s="77">
        <v>1972</v>
      </c>
      <c r="E23" s="98">
        <v>1</v>
      </c>
      <c r="F23" s="77">
        <v>17</v>
      </c>
      <c r="G23" s="77">
        <v>17</v>
      </c>
      <c r="H23" s="77" t="s">
        <v>25</v>
      </c>
      <c r="I23" s="77" t="s">
        <v>218</v>
      </c>
      <c r="J23" s="77" t="s">
        <v>12</v>
      </c>
      <c r="K23" s="77" t="str">
        <f>IF(J23="syllables","1",IF(J23="trigrams","2",IF(J23="strings","3",IF(J23="visual array","4",IF(J23="characters","5",IF(J23="letters","6",IF(J23="free forms","7",IF(J23="odors","8",IF(J23="words","9",IF(J23="pictures","10",IF(J23="object pictures","11",IF(J23="faces","12",IF(J23="names","13",IF(J23="idioms","14",IF(J23="grades","15",IF(J23="syllable-digit pairs","16",IF(J23="trigram-word pairs","17",IF(J23="word-digit pairs","18",IF(J23="English-Swahili pairs","19",IF(J23="spatial position","20",IF(J23="word pairs","21",IF(J23="word triads","22",IF(J23="generated words","23",IF(J23="word definition pairs","24",IF(J23="math problems","25",IF(J23="famous faces","26",IF(J23="famous names","27",IF(J23="famous voices","28",IF(J23="television programs","29",IF(J23="race horses","30",IF(J23="new vocabulary","31",IF(J23="sentences","32",IF(J23="concepts","33",IF(J23="ad slides","34",IF(J23="scenes","35",IF(J23="famous scenes","36",IF(J23="poems","37",IF(J23="walk","38",IF(J23="faces and events","39",IF(J23="events and names","40",IF(J23="flashbulb","41",IF(J23="stories","42",IF(J23="course material","43",IF(J23="autobiographical","44",IF(J23="novels","45",IF(J23="public events","46",IF(J23="order","90","99")))))))))))))))))))))))))))))))))))))))))))))))</f>
        <v>9</v>
      </c>
      <c r="L23" s="77" t="str">
        <f>IF(J23="syllables","1",IF(J23="trigrams","1",IF(J23="strings","1",IF(J23="visual array","1",IF(J23="characters","1",IF(J23="letters","1",IF(J23="free forms","1",IF(J23="odors","2",IF(J23="words","2",IF(J23="pictures","2",IF(J23="object pictures","2",IF(J23="faces","2",IF(J23="names","2",IF(J23="idioms","2",IF(J23="grades","2",IF(J23="syllable-digit pairs","3",IF(J23="trigram-word pairs","3",IF(J23="word-digit pairs","3",IF(J23="English-Swahili pairs","3",IF(J23="spatial position","3",IF(J23="word pairs","4",IF(J23="word triads","4",IF(J23="generated words","4",IF(J23="word definition pairs","4",IF(J23="math problems","4",IF(J23="famous faces","4",IF(J23="famous names","4",IF(J23="famous voices","4",IF(J23="television programs","4",IF(J23="race horses","4",IF(J23="new vocabulary","4",IF(J23="sentences","5",IF(J23="concepts","5",IF(J23="ad slides","5",IF(J23="scenes","5",IF(J23="famous scenes","5",IF(J23="poems","6",IF(J23="walk","6",IF(J23="faces and events","6",IF(J23="events and names","6",IF(J23="flashbulb","7",IF(J23="stories","7",IF(J23="course material","7",IF(J23="autobiographical","7",IF(J23="novels","7",IF(J23="public events","7",IF(J23="order","90","99")))))))))))))))))))))))))))))))))))))))))))))))</f>
        <v>2</v>
      </c>
      <c r="M23" s="77" t="s">
        <v>213</v>
      </c>
      <c r="N23" s="77">
        <v>3</v>
      </c>
      <c r="O23" s="77" t="s">
        <v>195</v>
      </c>
      <c r="P23" s="77"/>
      <c r="Q23" s="77" t="s">
        <v>18</v>
      </c>
      <c r="R23" s="77" t="str">
        <f>IF(Q23="Free Recall","1",IF(Q23="Cued Recall","2",IF(Q23="Recognition","3",IF(Q23="Multiple Choice","4",IF(Q23="Savings","5",IF(Q23="Stem Completion","6",IF(Q23="Fragment Completion","7",IF(Q23="anagram solution","8",IF(Q23="Matching","9",IF(Q23="Problem Solving","10","99"))))))))))</f>
        <v>3</v>
      </c>
      <c r="S23" s="77" t="s">
        <v>196</v>
      </c>
      <c r="T23" s="96" t="s">
        <v>132</v>
      </c>
      <c r="U23" s="32">
        <f>IF(T23="within",1,0)</f>
        <v>1</v>
      </c>
      <c r="V23" s="96">
        <v>400</v>
      </c>
      <c r="W23" s="77">
        <f>F23*V23</f>
        <v>6800</v>
      </c>
      <c r="X23" s="77">
        <v>5</v>
      </c>
      <c r="Y23" s="98">
        <f>AV22</f>
        <v>720</v>
      </c>
      <c r="Z23" s="77" t="s">
        <v>219</v>
      </c>
      <c r="AA23" s="77">
        <v>4800</v>
      </c>
      <c r="AB23" s="77" t="str">
        <f>IF(AA23&lt;60,"1",IF(AA23&lt;=43200,"2",IF(AA23&lt;=777600,"3","4")))</f>
        <v>2</v>
      </c>
      <c r="AC23" s="100">
        <f>AVERAGE(AV22:DA22)</f>
        <v>1884</v>
      </c>
      <c r="AD23" s="77" t="str">
        <f>IF(AC23&lt;60,"1",IF(AC23&lt;=43200,"2",IF(AC23&lt;=777600,"3","4")))</f>
        <v>2</v>
      </c>
      <c r="AE23" s="98">
        <f>AA23-Y23</f>
        <v>4080</v>
      </c>
      <c r="AF23" s="99">
        <f>AV23</f>
        <v>3.13</v>
      </c>
      <c r="AG23" s="100">
        <f>((AW23-AV23)+(AX23-AW23)+(AY23-AX23)+(AZ23-AY23))/4</f>
        <v>-0.26249999999999996</v>
      </c>
      <c r="AH23" s="84"/>
      <c r="AI23" s="100">
        <f>RSQ(AV23:AZ23,AV22:AZ22)</f>
        <v>0.72810910691750519</v>
      </c>
      <c r="AJ23" s="105">
        <f>SLOPE(AV23:AZ23,AV22:AZ22)</f>
        <v>-1.9131201155283721E-4</v>
      </c>
      <c r="AK23" s="100">
        <f>INTERCEPT(AV23:AZ23,AV22:AZ22)</f>
        <v>2.9524318297655454</v>
      </c>
      <c r="AL23" s="100">
        <f>INDEX(LINEST(LN(AV23:AZ23),LN(AV22:AZ22),TRUE,TRUE),3,1)</f>
        <v>0.86989771756394552</v>
      </c>
      <c r="AM23" s="100">
        <f>INDEX(LINEST(LN(AV23:AZ23),LN(AV22:AZ22)),1)</f>
        <v>-0.18318574855923095</v>
      </c>
      <c r="AN23" s="100">
        <f>EXP(INDEX(LINEST(LN(AV23:AZ23),LN(AV22:AZ22)),1,2))</f>
        <v>9.7676405537681426</v>
      </c>
      <c r="AO23" s="104">
        <f>INDEX(LINEST((AV23:AZ23),LN(AV22:AZ22),TRUE,TRUE),3,1)</f>
        <v>0.8290014956649312</v>
      </c>
      <c r="AP23" s="104">
        <f>INDEX(LINEST((AV23:AZ23),LN(AV22:AZ22)),1)</f>
        <v>-0.45927855767246911</v>
      </c>
      <c r="AQ23" s="48">
        <f>INDEX(LINEST(LN(AV23:AZ23),SQRT(AV22:AZ22),TRUE,TRUE),3,1)</f>
        <v>0.83532786700279238</v>
      </c>
      <c r="AR23" s="56">
        <f>INDEX(LINEST(LN(AV23:AZ23),SQRT((AV22:AZ22))),1)</f>
        <v>-7.8637391074356591E-3</v>
      </c>
      <c r="AS23" s="49">
        <f>INDEX(LINEST(1/(AV23:AZ23),1/(SQRT(AV22:AZ22)),TRUE,TRUE),3,1)</f>
        <v>0.89559967248357875</v>
      </c>
      <c r="AT23" s="49">
        <f>INDEX(LINEST(1/(AV23:AZ23),1/SQRT(AV22:AZ22)),1)</f>
        <v>-6.1868795245354873</v>
      </c>
      <c r="AU23" s="63"/>
      <c r="AV23" s="65">
        <v>3.13</v>
      </c>
      <c r="AW23" s="65">
        <v>2.59</v>
      </c>
      <c r="AX23" s="65">
        <v>2.67</v>
      </c>
      <c r="AY23" s="65">
        <v>2.4900000000000002</v>
      </c>
      <c r="AZ23" s="65">
        <v>2.08</v>
      </c>
      <c r="BA23" s="65"/>
      <c r="BB23" s="65"/>
      <c r="BC23" s="65"/>
      <c r="BD23" s="65"/>
      <c r="BE23" s="65"/>
      <c r="BF23" s="65"/>
      <c r="BG23" s="65"/>
      <c r="BH23" s="65"/>
      <c r="BI23" s="65"/>
      <c r="BJ23" s="65"/>
      <c r="BK23" s="65"/>
      <c r="BL23" s="61"/>
      <c r="BM23" s="61"/>
      <c r="BN23" s="61"/>
      <c r="BO23" s="61"/>
      <c r="BP23" s="61"/>
      <c r="BQ23" s="61"/>
      <c r="BR23" s="61"/>
      <c r="BS23" s="61"/>
      <c r="BT23" s="61"/>
      <c r="BU23" s="61"/>
      <c r="BV23" s="61"/>
      <c r="BW23" s="61"/>
      <c r="BX23" s="61"/>
      <c r="BY23" s="61"/>
      <c r="BZ23" s="61"/>
      <c r="CA23" s="61"/>
      <c r="CB23" s="61"/>
      <c r="CC23" s="61"/>
      <c r="CD23" s="61"/>
      <c r="CE23" s="61"/>
      <c r="CF23" s="61"/>
      <c r="CG23" s="61"/>
      <c r="CH23" s="61"/>
      <c r="CI23" s="61"/>
      <c r="CJ23" s="61"/>
      <c r="CK23" s="61"/>
      <c r="CL23" s="61"/>
      <c r="CM23" s="61"/>
      <c r="CN23" s="61"/>
      <c r="CO23" s="61"/>
      <c r="CP23" s="61"/>
      <c r="CQ23" s="61"/>
      <c r="CR23" s="59"/>
      <c r="CS23" s="59"/>
      <c r="CT23" s="59"/>
      <c r="CU23" s="59"/>
    </row>
    <row r="24" spans="1:99" s="60" customFormat="1" ht="12" customHeight="1" x14ac:dyDescent="0.2">
      <c r="A24" s="94">
        <v>43509</v>
      </c>
      <c r="B24" s="101"/>
      <c r="C24" s="101"/>
      <c r="D24" s="77"/>
      <c r="E24" s="98"/>
      <c r="F24" s="77"/>
      <c r="G24" s="77"/>
      <c r="H24" s="77"/>
      <c r="I24" s="77"/>
      <c r="J24" s="77"/>
      <c r="K24" s="102"/>
      <c r="L24" s="102"/>
      <c r="M24" s="77"/>
      <c r="N24" s="77"/>
      <c r="O24" s="77"/>
      <c r="P24" s="77"/>
      <c r="Q24" s="77"/>
      <c r="R24" s="77"/>
      <c r="S24" s="77"/>
      <c r="T24" s="96"/>
      <c r="U24" s="32"/>
      <c r="V24" s="77"/>
      <c r="W24" s="77"/>
      <c r="X24" s="77"/>
      <c r="Y24" s="98"/>
      <c r="Z24" s="77"/>
      <c r="AA24" s="77"/>
      <c r="AB24" s="77"/>
      <c r="AC24" s="77"/>
      <c r="AD24" s="77"/>
      <c r="AE24" s="77"/>
      <c r="AF24" s="99"/>
      <c r="AG24" s="100"/>
      <c r="AH24" s="84"/>
      <c r="AI24" s="100"/>
      <c r="AJ24" s="105"/>
      <c r="AK24" s="100"/>
      <c r="AL24" s="100"/>
      <c r="AM24" s="100"/>
      <c r="AN24" s="100"/>
      <c r="AO24" s="100"/>
      <c r="AP24" s="100"/>
      <c r="AQ24" s="100"/>
      <c r="AR24" s="105"/>
      <c r="AS24" s="100"/>
      <c r="AT24" s="100"/>
      <c r="AU24" s="62"/>
      <c r="AV24" s="64">
        <f>3600*0.08</f>
        <v>288</v>
      </c>
      <c r="AW24" s="64">
        <f>3600*0.17</f>
        <v>612</v>
      </c>
      <c r="AX24" s="64">
        <f>3600*0.25</f>
        <v>900</v>
      </c>
      <c r="AY24" s="64">
        <f>3600*0.33</f>
        <v>1188</v>
      </c>
      <c r="AZ24" s="64">
        <f>3600*0.5</f>
        <v>1800</v>
      </c>
      <c r="BA24" s="64">
        <f>3600*1</f>
        <v>3600</v>
      </c>
      <c r="BB24" s="64">
        <f>3600*2</f>
        <v>7200</v>
      </c>
      <c r="BC24" s="64">
        <f>3600*3</f>
        <v>10800</v>
      </c>
      <c r="BD24" s="64">
        <f>3600*4</f>
        <v>14400</v>
      </c>
      <c r="BE24" s="64">
        <f>3600*5</f>
        <v>18000</v>
      </c>
      <c r="BF24" s="64">
        <f>3600*6</f>
        <v>21600</v>
      </c>
      <c r="BG24" s="64">
        <f>3600*7</f>
        <v>25200</v>
      </c>
      <c r="BH24" s="65"/>
      <c r="BI24" s="65"/>
      <c r="BJ24" s="65"/>
      <c r="BK24" s="65"/>
      <c r="BL24" s="61"/>
      <c r="BM24" s="61"/>
      <c r="BN24" s="61"/>
      <c r="BO24" s="61"/>
      <c r="BP24" s="61"/>
      <c r="BQ24" s="61"/>
      <c r="BR24" s="61"/>
      <c r="BS24" s="61"/>
      <c r="BT24" s="61"/>
      <c r="BU24" s="61"/>
      <c r="BV24" s="61"/>
      <c r="BW24" s="61"/>
      <c r="BX24" s="61"/>
      <c r="BY24" s="61"/>
      <c r="BZ24" s="61"/>
      <c r="CA24" s="61"/>
      <c r="CB24" s="61"/>
      <c r="CC24" s="61"/>
      <c r="CD24" s="61"/>
      <c r="CE24" s="61"/>
      <c r="CF24" s="61"/>
      <c r="CG24" s="61"/>
      <c r="CH24" s="61"/>
      <c r="CI24" s="61"/>
      <c r="CJ24" s="61"/>
      <c r="CK24" s="61"/>
      <c r="CL24" s="61"/>
      <c r="CM24" s="61"/>
      <c r="CN24" s="61"/>
      <c r="CO24" s="61"/>
      <c r="CP24" s="61"/>
      <c r="CQ24" s="61"/>
      <c r="CR24" s="59"/>
      <c r="CS24" s="59"/>
      <c r="CT24" s="59"/>
      <c r="CU24" s="59"/>
    </row>
    <row r="25" spans="1:99" s="60" customFormat="1" ht="12" customHeight="1" x14ac:dyDescent="0.2">
      <c r="A25" s="94">
        <v>43509</v>
      </c>
      <c r="B25" s="101" t="s">
        <v>203</v>
      </c>
      <c r="C25" s="101" t="s">
        <v>204</v>
      </c>
      <c r="D25" s="77">
        <v>1972</v>
      </c>
      <c r="E25" s="98">
        <v>1</v>
      </c>
      <c r="F25" s="77">
        <v>6</v>
      </c>
      <c r="G25" s="77">
        <v>6</v>
      </c>
      <c r="H25" s="77" t="s">
        <v>13</v>
      </c>
      <c r="I25" s="77" t="s">
        <v>220</v>
      </c>
      <c r="J25" s="77" t="s">
        <v>12</v>
      </c>
      <c r="K25" s="77" t="str">
        <f>IF(J25="syllables","1",IF(J25="trigrams","2",IF(J25="strings","3",IF(J25="visual array","4",IF(J25="characters","5",IF(J25="letters","6",IF(J25="free forms","7",IF(J25="odors","8",IF(J25="words","9",IF(J25="pictures","10",IF(J25="object pictures","11",IF(J25="faces","12",IF(J25="names","13",IF(J25="idioms","14",IF(J25="grades","15",IF(J25="syllable-digit pairs","16",IF(J25="trigram-word pairs","17",IF(J25="word-digit pairs","18",IF(J25="English-Swahili pairs","19",IF(J25="spatial position","20",IF(J25="word pairs","21",IF(J25="word triads","22",IF(J25="generated words","23",IF(J25="word definition pairs","24",IF(J25="math problems","25",IF(J25="famous faces","26",IF(J25="famous names","27",IF(J25="famous voices","28",IF(J25="television programs","29",IF(J25="race horses","30",IF(J25="new vocabulary","31",IF(J25="sentences","32",IF(J25="concepts","33",IF(J25="ad slides","34",IF(J25="scenes","35",IF(J25="famous scenes","36",IF(J25="poems","37",IF(J25="walk","38",IF(J25="faces and events","39",IF(J25="events and names","40",IF(J25="flashbulb","41",IF(J25="stories","42",IF(J25="course material","43",IF(J25="autobiographical","44",IF(J25="novels","45",IF(J25="public events","46",IF(J25="order","90","99")))))))))))))))))))))))))))))))))))))))))))))))</f>
        <v>9</v>
      </c>
      <c r="L25" s="77" t="str">
        <f>IF(J25="syllables","1",IF(J25="trigrams","1",IF(J25="strings","1",IF(J25="visual array","1",IF(J25="characters","1",IF(J25="letters","1",IF(J25="free forms","1",IF(J25="odors","2",IF(J25="words","2",IF(J25="pictures","2",IF(J25="object pictures","2",IF(J25="faces","2",IF(J25="names","2",IF(J25="idioms","2",IF(J25="grades","2",IF(J25="syllable-digit pairs","3",IF(J25="trigram-word pairs","3",IF(J25="word-digit pairs","3",IF(J25="English-Swahili pairs","3",IF(J25="spatial position","3",IF(J25="word pairs","4",IF(J25="word triads","4",IF(J25="generated words","4",IF(J25="word definition pairs","4",IF(J25="math problems","4",IF(J25="famous faces","4",IF(J25="famous names","4",IF(J25="famous voices","4",IF(J25="television programs","4",IF(J25="race horses","4",IF(J25="new vocabulary","4",IF(J25="sentences","5",IF(J25="concepts","5",IF(J25="ad slides","5",IF(J25="scenes","5",IF(J25="famous scenes","5",IF(J25="poems","6",IF(J25="walk","6",IF(J25="faces and events","6",IF(J25="events and names","6",IF(J25="flashbulb","7",IF(J25="stories","7",IF(J25="course material","7",IF(J25="autobiographical","7",IF(J25="novels","7",IF(J25="public events","7",IF(J25="order","90","99")))))))))))))))))))))))))))))))))))))))))))))))</f>
        <v>2</v>
      </c>
      <c r="M25" s="77" t="s">
        <v>195</v>
      </c>
      <c r="N25" s="77">
        <v>1</v>
      </c>
      <c r="O25" s="77" t="s">
        <v>195</v>
      </c>
      <c r="P25" s="77"/>
      <c r="Q25" s="77" t="s">
        <v>18</v>
      </c>
      <c r="R25" s="77" t="str">
        <f>IF(Q25="Free Recall","1",IF(Q25="Cued Recall","2",IF(Q25="Recognition","3",IF(Q25="Multiple Choice","4",IF(Q25="Savings","5",IF(Q25="Stem Completion","6",IF(Q25="Fragment Completion","7",IF(Q25="anagram solution","8",IF(Q25="Matching","9",IF(Q25="Problem Solving","10","99"))))))))))</f>
        <v>3</v>
      </c>
      <c r="S25" s="77" t="s">
        <v>196</v>
      </c>
      <c r="T25" s="96" t="s">
        <v>132</v>
      </c>
      <c r="U25" s="32">
        <f>IF(T25="within",1,0)</f>
        <v>1</v>
      </c>
      <c r="V25" s="96">
        <v>400</v>
      </c>
      <c r="W25" s="77">
        <f>F25*V25</f>
        <v>2400</v>
      </c>
      <c r="X25" s="77">
        <v>12</v>
      </c>
      <c r="Y25" s="98">
        <f>AV24</f>
        <v>288</v>
      </c>
      <c r="Z25" s="77" t="s">
        <v>221</v>
      </c>
      <c r="AA25" s="77">
        <v>25200</v>
      </c>
      <c r="AB25" s="77" t="str">
        <f>IF(AA25&lt;60,"1",IF(AA25&lt;=43200,"2",IF(AA25&lt;=777600,"3","4")))</f>
        <v>2</v>
      </c>
      <c r="AC25" s="100">
        <f>AVERAGE(AV24:DA24)</f>
        <v>8799</v>
      </c>
      <c r="AD25" s="77" t="str">
        <f>IF(AC25&lt;60,"1",IF(AC25&lt;=43200,"2",IF(AC25&lt;=777600,"3","4")))</f>
        <v>2</v>
      </c>
      <c r="AE25" s="98">
        <f>AA25-Y25</f>
        <v>24912</v>
      </c>
      <c r="AF25" s="99">
        <f>AV25</f>
        <v>4.1500000000000004</v>
      </c>
      <c r="AG25" s="100">
        <f>((AW25-AV25)+(AX25-AW25)+(AY25-AX25)+(AZ25-AY25)+(BA25-AZ25)+(BB25-BA25)+(BC25-BB25)+(BD25-BC25)+(BE25-BD25)+(BF25-BE25)+(BG25-BF25))/11</f>
        <v>-0.17727272727272728</v>
      </c>
      <c r="AH25" s="84"/>
      <c r="AI25" s="100">
        <f>RSQ(AV25:BG25,AV24:BG24)</f>
        <v>0.77700208396550474</v>
      </c>
      <c r="AJ25" s="105">
        <f>SLOPE(AV25:BG25,AV24:BG24)</f>
        <v>-7.0220632365315401E-5</v>
      </c>
      <c r="AK25" s="100">
        <f>INTERCEPT(AV25:BG25,AV24:BG24)</f>
        <v>3.7895380108490775</v>
      </c>
      <c r="AL25" s="100">
        <f>INDEX(LINEST(LN(AV25:BG25),LN(AV24:BG24),TRUE,TRUE),3,1)</f>
        <v>0.88442018084558227</v>
      </c>
      <c r="AM25" s="100">
        <f>INDEX(LINEST(LN(AV25:BG25),LN(AV24:BG24)),1)</f>
        <v>-0.13785230161429973</v>
      </c>
      <c r="AN25" s="100">
        <f>EXP(INDEX(LINEST(LN(AV25:BG25),LN(AV24:BG24)),1,2))</f>
        <v>9.6947529063913631</v>
      </c>
      <c r="AO25" s="104">
        <f>INDEX(LINEST((AV25:BG25),LN(AV24:BG24),TRUE,TRUE),3,1)</f>
        <v>0.88653087567697975</v>
      </c>
      <c r="AP25" s="104">
        <f>INDEX(LINEST((AV25:BG25),LN(AV24:BG24)),1)</f>
        <v>-0.43699648834611893</v>
      </c>
      <c r="AQ25" s="48">
        <f>INDEX(LINEST(LN(AV25:BG25),SQRT(AV24:BG24),TRUE,TRUE),3,1)</f>
        <v>0.89347765706103699</v>
      </c>
      <c r="AR25" s="56">
        <f>INDEX(LINEST(LN(AV25:BG25),SQRT((AV24:BG24))),1)</f>
        <v>-4.1530086828528833E-3</v>
      </c>
      <c r="AS25" s="49">
        <f>INDEX(LINEST(1/(AV25:BG25),1/(SQRT(AV24:BG24)),TRUE,TRUE),3,1)</f>
        <v>0.70119504635110164</v>
      </c>
      <c r="AT25" s="49">
        <f>INDEX(LINEST(1/(AV25:BG25),1/SQRT(AV24:BG24)),1)</f>
        <v>-3.7460584487743707</v>
      </c>
      <c r="AU25" s="63"/>
      <c r="AV25" s="65">
        <v>4.1500000000000004</v>
      </c>
      <c r="AW25" s="65">
        <v>4.4000000000000004</v>
      </c>
      <c r="AX25" s="65">
        <v>3.39</v>
      </c>
      <c r="AY25" s="65">
        <v>3.6</v>
      </c>
      <c r="AZ25" s="65">
        <v>3.81</v>
      </c>
      <c r="BA25" s="65">
        <v>3.27</v>
      </c>
      <c r="BB25" s="65">
        <v>2.83</v>
      </c>
      <c r="BC25" s="65">
        <v>2.84</v>
      </c>
      <c r="BD25" s="65">
        <v>2.4300000000000002</v>
      </c>
      <c r="BE25" s="65">
        <v>2.79</v>
      </c>
      <c r="BF25" s="65">
        <v>2.35</v>
      </c>
      <c r="BG25" s="65">
        <v>2.2000000000000002</v>
      </c>
      <c r="BH25" s="65"/>
      <c r="BI25" s="65"/>
      <c r="BJ25" s="65"/>
      <c r="BK25" s="65"/>
      <c r="BL25" s="61"/>
      <c r="BM25" s="61"/>
      <c r="BN25" s="61"/>
      <c r="BO25" s="61"/>
      <c r="BP25" s="61"/>
      <c r="BQ25" s="61"/>
      <c r="BR25" s="61"/>
      <c r="BS25" s="61"/>
      <c r="BT25" s="61"/>
      <c r="BU25" s="61"/>
      <c r="BV25" s="61"/>
      <c r="BW25" s="61"/>
      <c r="BX25" s="61"/>
      <c r="BY25" s="61"/>
      <c r="BZ25" s="61"/>
      <c r="CA25" s="61"/>
      <c r="CB25" s="61"/>
      <c r="CC25" s="61"/>
      <c r="CD25" s="61"/>
      <c r="CE25" s="61"/>
      <c r="CF25" s="61"/>
      <c r="CG25" s="61"/>
      <c r="CH25" s="61"/>
      <c r="CI25" s="61"/>
      <c r="CJ25" s="61"/>
      <c r="CK25" s="61"/>
      <c r="CL25" s="61"/>
      <c r="CM25" s="61"/>
      <c r="CN25" s="61"/>
      <c r="CO25" s="61"/>
      <c r="CP25" s="61"/>
      <c r="CQ25" s="61"/>
      <c r="CR25" s="59"/>
      <c r="CS25" s="59"/>
      <c r="CT25" s="59"/>
      <c r="CU25" s="59"/>
    </row>
    <row r="26" spans="1:99" s="60" customFormat="1" ht="12" customHeight="1" x14ac:dyDescent="0.2">
      <c r="A26" s="94">
        <v>43509</v>
      </c>
      <c r="B26" s="101"/>
      <c r="C26" s="101"/>
      <c r="D26" s="77"/>
      <c r="E26" s="98"/>
      <c r="F26" s="77"/>
      <c r="G26" s="77"/>
      <c r="H26" s="77"/>
      <c r="I26" s="77"/>
      <c r="J26" s="77"/>
      <c r="K26" s="102"/>
      <c r="L26" s="102"/>
      <c r="M26" s="77"/>
      <c r="N26" s="77"/>
      <c r="O26" s="77"/>
      <c r="P26" s="77"/>
      <c r="Q26" s="77"/>
      <c r="R26" s="77"/>
      <c r="S26" s="77"/>
      <c r="T26" s="96"/>
      <c r="U26" s="32"/>
      <c r="V26" s="77"/>
      <c r="W26" s="77"/>
      <c r="X26" s="77"/>
      <c r="Y26" s="98"/>
      <c r="Z26" s="77"/>
      <c r="AA26" s="77"/>
      <c r="AB26" s="77"/>
      <c r="AC26" s="77"/>
      <c r="AD26" s="77"/>
      <c r="AE26" s="77"/>
      <c r="AF26" s="99"/>
      <c r="AG26" s="100"/>
      <c r="AH26" s="84"/>
      <c r="AI26" s="100"/>
      <c r="AJ26" s="105"/>
      <c r="AK26" s="100"/>
      <c r="AL26" s="100"/>
      <c r="AM26" s="100"/>
      <c r="AN26" s="100"/>
      <c r="AO26" s="100"/>
      <c r="AP26" s="100"/>
      <c r="AQ26" s="100"/>
      <c r="AR26" s="105"/>
      <c r="AS26" s="100"/>
      <c r="AT26" s="100"/>
      <c r="AU26" s="62"/>
      <c r="AV26" s="64">
        <f>3600*0.08</f>
        <v>288</v>
      </c>
      <c r="AW26" s="64">
        <f>3600*0.17</f>
        <v>612</v>
      </c>
      <c r="AX26" s="64">
        <f>3600*0.25</f>
        <v>900</v>
      </c>
      <c r="AY26" s="64">
        <f>3600*0.33</f>
        <v>1188</v>
      </c>
      <c r="AZ26" s="64">
        <f>3600*0.5</f>
        <v>1800</v>
      </c>
      <c r="BA26" s="64">
        <f>3600*1</f>
        <v>3600</v>
      </c>
      <c r="BB26" s="64">
        <f>3600*2</f>
        <v>7200</v>
      </c>
      <c r="BC26" s="64">
        <f>3600*3</f>
        <v>10800</v>
      </c>
      <c r="BD26" s="64">
        <f>3600*4</f>
        <v>14400</v>
      </c>
      <c r="BE26" s="64">
        <f>3600*5</f>
        <v>18000</v>
      </c>
      <c r="BF26" s="64">
        <f>3600*6</f>
        <v>21600</v>
      </c>
      <c r="BG26" s="64">
        <f>3600*7</f>
        <v>25200</v>
      </c>
      <c r="BH26" s="65"/>
      <c r="BI26" s="65"/>
      <c r="BJ26" s="65"/>
      <c r="BK26" s="65"/>
      <c r="BL26" s="61"/>
      <c r="BM26" s="61"/>
      <c r="BN26" s="61"/>
      <c r="BO26" s="61"/>
      <c r="BP26" s="61"/>
      <c r="BQ26" s="61"/>
      <c r="BR26" s="61"/>
      <c r="BS26" s="61"/>
      <c r="BT26" s="61"/>
      <c r="BU26" s="61"/>
      <c r="BV26" s="61"/>
      <c r="BW26" s="61"/>
      <c r="BX26" s="61"/>
      <c r="BY26" s="61"/>
      <c r="BZ26" s="61"/>
      <c r="CA26" s="61"/>
      <c r="CB26" s="61"/>
      <c r="CC26" s="61"/>
      <c r="CD26" s="61"/>
      <c r="CE26" s="61"/>
      <c r="CF26" s="61"/>
      <c r="CG26" s="61"/>
      <c r="CH26" s="61"/>
      <c r="CI26" s="61"/>
      <c r="CJ26" s="61"/>
      <c r="CK26" s="61"/>
      <c r="CL26" s="61"/>
      <c r="CM26" s="61"/>
      <c r="CN26" s="61"/>
      <c r="CO26" s="61"/>
      <c r="CP26" s="61"/>
      <c r="CQ26" s="61"/>
      <c r="CR26" s="59"/>
      <c r="CS26" s="59"/>
      <c r="CT26" s="59"/>
      <c r="CU26" s="59"/>
    </row>
    <row r="27" spans="1:99" s="60" customFormat="1" ht="12" customHeight="1" x14ac:dyDescent="0.2">
      <c r="A27" s="94">
        <v>43509</v>
      </c>
      <c r="B27" s="101" t="s">
        <v>203</v>
      </c>
      <c r="C27" s="101" t="s">
        <v>204</v>
      </c>
      <c r="D27" s="77">
        <v>1972</v>
      </c>
      <c r="E27" s="98">
        <v>1</v>
      </c>
      <c r="F27" s="77">
        <v>6</v>
      </c>
      <c r="G27" s="77">
        <v>6</v>
      </c>
      <c r="H27" s="77" t="s">
        <v>13</v>
      </c>
      <c r="I27" s="77" t="s">
        <v>222</v>
      </c>
      <c r="J27" s="77" t="s">
        <v>12</v>
      </c>
      <c r="K27" s="77" t="str">
        <f>IF(J27="syllables","1",IF(J27="trigrams","2",IF(J27="strings","3",IF(J27="visual array","4",IF(J27="characters","5",IF(J27="letters","6",IF(J27="free forms","7",IF(J27="odors","8",IF(J27="words","9",IF(J27="pictures","10",IF(J27="object pictures","11",IF(J27="faces","12",IF(J27="names","13",IF(J27="idioms","14",IF(J27="grades","15",IF(J27="syllable-digit pairs","16",IF(J27="trigram-word pairs","17",IF(J27="word-digit pairs","18",IF(J27="English-Swahili pairs","19",IF(J27="spatial position","20",IF(J27="word pairs","21",IF(J27="word triads","22",IF(J27="generated words","23",IF(J27="word definition pairs","24",IF(J27="math problems","25",IF(J27="famous faces","26",IF(J27="famous names","27",IF(J27="famous voices","28",IF(J27="television programs","29",IF(J27="race horses","30",IF(J27="new vocabulary","31",IF(J27="sentences","32",IF(J27="concepts","33",IF(J27="ad slides","34",IF(J27="scenes","35",IF(J27="famous scenes","36",IF(J27="poems","37",IF(J27="walk","38",IF(J27="faces and events","39",IF(J27="events and names","40",IF(J27="flashbulb","41",IF(J27="stories","42",IF(J27="course material","43",IF(J27="autobiographical","44",IF(J27="novels","45",IF(J27="public events","46",IF(J27="order","90","99")))))))))))))))))))))))))))))))))))))))))))))))</f>
        <v>9</v>
      </c>
      <c r="L27" s="77" t="str">
        <f>IF(J27="syllables","1",IF(J27="trigrams","1",IF(J27="strings","1",IF(J27="visual array","1",IF(J27="characters","1",IF(J27="letters","1",IF(J27="free forms","1",IF(J27="odors","2",IF(J27="words","2",IF(J27="pictures","2",IF(J27="object pictures","2",IF(J27="faces","2",IF(J27="names","2",IF(J27="idioms","2",IF(J27="grades","2",IF(J27="syllable-digit pairs","3",IF(J27="trigram-word pairs","3",IF(J27="word-digit pairs","3",IF(J27="English-Swahili pairs","3",IF(J27="spatial position","3",IF(J27="word pairs","4",IF(J27="word triads","4",IF(J27="generated words","4",IF(J27="word definition pairs","4",IF(J27="math problems","4",IF(J27="famous faces","4",IF(J27="famous names","4",IF(J27="famous voices","4",IF(J27="television programs","4",IF(J27="race horses","4",IF(J27="new vocabulary","4",IF(J27="sentences","5",IF(J27="concepts","5",IF(J27="ad slides","5",IF(J27="scenes","5",IF(J27="famous scenes","5",IF(J27="poems","6",IF(J27="walk","6",IF(J27="faces and events","6",IF(J27="events and names","6",IF(J27="flashbulb","7",IF(J27="stories","7",IF(J27="course material","7",IF(J27="autobiographical","7",IF(J27="novels","7",IF(J27="public events","7",IF(J27="order","90","99")))))))))))))))))))))))))))))))))))))))))))))))</f>
        <v>2</v>
      </c>
      <c r="M27" s="77" t="s">
        <v>195</v>
      </c>
      <c r="N27" s="77">
        <v>1</v>
      </c>
      <c r="O27" s="77" t="s">
        <v>195</v>
      </c>
      <c r="P27" s="77"/>
      <c r="Q27" s="77" t="s">
        <v>18</v>
      </c>
      <c r="R27" s="77" t="str">
        <f>IF(Q27="Free Recall","1",IF(Q27="Cued Recall","2",IF(Q27="Recognition","3",IF(Q27="Multiple Choice","4",IF(Q27="Savings","5",IF(Q27="Stem Completion","6",IF(Q27="Fragment Completion","7",IF(Q27="anagram solution","8",IF(Q27="Matching","9",IF(Q27="Problem Solving","10","99"))))))))))</f>
        <v>3</v>
      </c>
      <c r="S27" s="77" t="s">
        <v>196</v>
      </c>
      <c r="T27" s="96" t="s">
        <v>132</v>
      </c>
      <c r="U27" s="32">
        <f>IF(T27="within",1,0)</f>
        <v>1</v>
      </c>
      <c r="V27" s="96">
        <v>400</v>
      </c>
      <c r="W27" s="77">
        <f>F27*V27</f>
        <v>2400</v>
      </c>
      <c r="X27" s="77">
        <v>12</v>
      </c>
      <c r="Y27" s="98">
        <f>AV26</f>
        <v>288</v>
      </c>
      <c r="Z27" s="77" t="s">
        <v>221</v>
      </c>
      <c r="AA27" s="77">
        <v>25200</v>
      </c>
      <c r="AB27" s="77" t="str">
        <f>IF(AA27&lt;60,"1",IF(AA27&lt;=43200,"2",IF(AA27&lt;=777600,"3","4")))</f>
        <v>2</v>
      </c>
      <c r="AC27" s="100">
        <f>AVERAGE(AV26:DA26)</f>
        <v>8799</v>
      </c>
      <c r="AD27" s="77" t="str">
        <f>IF(AC27&lt;60,"1",IF(AC27&lt;=43200,"2",IF(AC27&lt;=777600,"3","4")))</f>
        <v>2</v>
      </c>
      <c r="AE27" s="98">
        <f>AA27-Y27</f>
        <v>24912</v>
      </c>
      <c r="AF27" s="99">
        <f>AV27</f>
        <v>3.55</v>
      </c>
      <c r="AG27" s="100">
        <f>((AW27-AV27)+(AX27-AW27)+(AY27-AX27)+(AZ27-AY27)+(BA27-AZ27)+(BB27-BA27)+(BC27-BB27)+(BD27-BC27)+(BE27-BD27)+(BF27-BE27)+(BG27-BF27))/11</f>
        <v>-0.17909090909090908</v>
      </c>
      <c r="AH27" s="84"/>
      <c r="AI27" s="100">
        <f>RSQ(AV27:BG27,AV26:BG26)</f>
        <v>0.826405956696178</v>
      </c>
      <c r="AJ27" s="105">
        <f>SLOPE(AV27:BG27,AV26:BG26)</f>
        <v>-7.2198932461174019E-5</v>
      </c>
      <c r="AK27" s="100">
        <f>INTERCEPT(AV27:BG27,AV26:BG26)</f>
        <v>3.2002784067258703</v>
      </c>
      <c r="AL27" s="100">
        <f>INDEX(LINEST(LN(AV27:BG27),LN(AV26:BG26),TRUE,TRUE),3,1)</f>
        <v>0.82245982762872427</v>
      </c>
      <c r="AM27" s="100">
        <f>INDEX(LINEST(LN(AV27:BG27),LN(AV26:BG26)),1)</f>
        <v>-0.17390240364693083</v>
      </c>
      <c r="AN27" s="100">
        <f>EXP(INDEX(LINEST(LN(AV27:BG27),LN(AV26:BG26)),1,2))</f>
        <v>10.407444306887632</v>
      </c>
      <c r="AO27" s="104">
        <f>INDEX(LINEST((AV27:BG27),LN(AV26:BG26),TRUE,TRUE),3,1)</f>
        <v>0.86578662624057201</v>
      </c>
      <c r="AP27" s="104">
        <f>INDEX(LINEST((AV27:BG27),LN(AV26:BG26)),1)</f>
        <v>-0.43054332757538399</v>
      </c>
      <c r="AQ27" s="48">
        <f>INDEX(LINEST(LN(AV27:BG27),SQRT(AV26:BG26),TRUE,TRUE),3,1)</f>
        <v>0.87749478814924664</v>
      </c>
      <c r="AR27" s="56">
        <f>INDEX(LINEST(LN(AV27:BG27),SQRT((AV26:BG26))),1)</f>
        <v>-5.3840216986160514E-3</v>
      </c>
      <c r="AS27" s="49">
        <f>INDEX(LINEST(1/(AV27:BG27),1/(SQRT(AV26:BG26)),TRUE,TRUE),3,1)</f>
        <v>0.58187369155488744</v>
      </c>
      <c r="AT27" s="49">
        <f>INDEX(LINEST(1/(AV27:BG27),1/SQRT(AV26:BG26)),1)</f>
        <v>-5.9996481831993043</v>
      </c>
      <c r="AU27" s="63"/>
      <c r="AV27" s="65">
        <v>3.55</v>
      </c>
      <c r="AW27" s="65">
        <v>3.52</v>
      </c>
      <c r="AX27" s="65">
        <v>2.81</v>
      </c>
      <c r="AY27" s="65">
        <v>3.31</v>
      </c>
      <c r="AZ27" s="65">
        <v>2.98</v>
      </c>
      <c r="BA27" s="65">
        <v>2.77</v>
      </c>
      <c r="BB27" s="65">
        <v>2.02</v>
      </c>
      <c r="BC27" s="65">
        <v>2.59</v>
      </c>
      <c r="BD27" s="65">
        <v>2.21</v>
      </c>
      <c r="BE27" s="65">
        <v>1.93</v>
      </c>
      <c r="BF27" s="65">
        <v>1.51</v>
      </c>
      <c r="BG27" s="65">
        <v>1.58</v>
      </c>
      <c r="BH27" s="65"/>
      <c r="BI27" s="65"/>
      <c r="BJ27" s="65"/>
      <c r="BK27" s="65"/>
      <c r="BL27" s="61"/>
      <c r="BM27" s="61"/>
      <c r="BN27" s="61"/>
      <c r="BO27" s="61"/>
      <c r="BP27" s="61"/>
      <c r="BQ27" s="61"/>
      <c r="BR27" s="61"/>
      <c r="BS27" s="61"/>
      <c r="BT27" s="61"/>
      <c r="BU27" s="61"/>
      <c r="BV27" s="61"/>
      <c r="BW27" s="61"/>
      <c r="BX27" s="61"/>
      <c r="BY27" s="61"/>
      <c r="BZ27" s="61"/>
      <c r="CA27" s="61"/>
      <c r="CB27" s="61"/>
      <c r="CC27" s="61"/>
      <c r="CD27" s="61"/>
      <c r="CE27" s="61"/>
      <c r="CF27" s="61"/>
      <c r="CG27" s="61"/>
      <c r="CH27" s="61"/>
      <c r="CI27" s="61"/>
      <c r="CJ27" s="61"/>
      <c r="CK27" s="61"/>
      <c r="CL27" s="61"/>
      <c r="CM27" s="61"/>
      <c r="CN27" s="61"/>
      <c r="CO27" s="61"/>
      <c r="CP27" s="61"/>
      <c r="CQ27" s="61"/>
      <c r="CR27" s="59"/>
      <c r="CS27" s="59"/>
      <c r="CT27" s="59"/>
      <c r="CU27" s="59"/>
    </row>
    <row r="28" spans="1:99" s="60" customFormat="1" ht="12" customHeight="1" x14ac:dyDescent="0.2">
      <c r="A28" s="94">
        <v>43509</v>
      </c>
      <c r="B28" s="101"/>
      <c r="C28" s="101"/>
      <c r="D28" s="77"/>
      <c r="E28" s="98"/>
      <c r="F28" s="77"/>
      <c r="G28" s="77"/>
      <c r="H28" s="77"/>
      <c r="I28" s="77"/>
      <c r="J28" s="77"/>
      <c r="K28" s="102"/>
      <c r="L28" s="102"/>
      <c r="M28" s="77"/>
      <c r="N28" s="77"/>
      <c r="O28" s="77"/>
      <c r="P28" s="77"/>
      <c r="Q28" s="77"/>
      <c r="R28" s="77"/>
      <c r="S28" s="77"/>
      <c r="T28" s="96"/>
      <c r="U28" s="32"/>
      <c r="V28" s="77"/>
      <c r="W28" s="77"/>
      <c r="X28" s="77"/>
      <c r="Y28" s="98"/>
      <c r="Z28" s="77"/>
      <c r="AA28" s="77"/>
      <c r="AB28" s="77"/>
      <c r="AC28" s="77"/>
      <c r="AD28" s="77"/>
      <c r="AE28" s="77"/>
      <c r="AF28" s="99"/>
      <c r="AG28" s="100"/>
      <c r="AH28" s="84"/>
      <c r="AI28" s="100"/>
      <c r="AJ28" s="105"/>
      <c r="AK28" s="100"/>
      <c r="AL28" s="100"/>
      <c r="AM28" s="100"/>
      <c r="AN28" s="100"/>
      <c r="AO28" s="100"/>
      <c r="AP28" s="100"/>
      <c r="AQ28" s="100"/>
      <c r="AR28" s="105"/>
      <c r="AS28" s="100"/>
      <c r="AT28" s="100"/>
      <c r="AU28" s="62"/>
      <c r="AV28" s="64">
        <f>3600*0.08</f>
        <v>288</v>
      </c>
      <c r="AW28" s="64">
        <f>3600*0.17</f>
        <v>612</v>
      </c>
      <c r="AX28" s="64">
        <f>3600*0.25</f>
        <v>900</v>
      </c>
      <c r="AY28" s="64">
        <f>3600*0.33</f>
        <v>1188</v>
      </c>
      <c r="AZ28" s="64">
        <f>3600*0.5</f>
        <v>1800</v>
      </c>
      <c r="BA28" s="64">
        <f>3600*1</f>
        <v>3600</v>
      </c>
      <c r="BB28" s="64">
        <f>3600*2</f>
        <v>7200</v>
      </c>
      <c r="BC28" s="64">
        <f>3600*3</f>
        <v>10800</v>
      </c>
      <c r="BD28" s="64">
        <f>3600*4</f>
        <v>14400</v>
      </c>
      <c r="BE28" s="64">
        <f>3600*5</f>
        <v>18000</v>
      </c>
      <c r="BF28" s="64">
        <f>3600*6</f>
        <v>21600</v>
      </c>
      <c r="BG28" s="64">
        <f>3600*7</f>
        <v>25200</v>
      </c>
      <c r="BH28" s="65"/>
      <c r="BI28" s="65"/>
      <c r="BJ28" s="65"/>
      <c r="BK28" s="65"/>
      <c r="BL28" s="61"/>
      <c r="BM28" s="61"/>
      <c r="BN28" s="61"/>
      <c r="BO28" s="61"/>
      <c r="BP28" s="61"/>
      <c r="BQ28" s="61"/>
      <c r="BR28" s="61"/>
      <c r="BS28" s="61"/>
      <c r="BT28" s="61"/>
      <c r="BU28" s="61"/>
      <c r="BV28" s="61"/>
      <c r="BW28" s="61"/>
      <c r="BX28" s="61"/>
      <c r="BY28" s="61"/>
      <c r="BZ28" s="61"/>
      <c r="CA28" s="61"/>
      <c r="CB28" s="61"/>
      <c r="CC28" s="61"/>
      <c r="CD28" s="61"/>
      <c r="CE28" s="61"/>
      <c r="CF28" s="61"/>
      <c r="CG28" s="61"/>
      <c r="CH28" s="61"/>
      <c r="CI28" s="61"/>
      <c r="CJ28" s="61"/>
      <c r="CK28" s="61"/>
      <c r="CL28" s="61"/>
      <c r="CM28" s="61"/>
      <c r="CN28" s="61"/>
      <c r="CO28" s="61"/>
      <c r="CP28" s="61"/>
      <c r="CQ28" s="61"/>
      <c r="CR28" s="59"/>
      <c r="CS28" s="59"/>
      <c r="CT28" s="59"/>
      <c r="CU28" s="59"/>
    </row>
    <row r="29" spans="1:99" s="60" customFormat="1" ht="12" customHeight="1" x14ac:dyDescent="0.2">
      <c r="A29" s="94">
        <v>43509</v>
      </c>
      <c r="B29" s="101" t="s">
        <v>203</v>
      </c>
      <c r="C29" s="101" t="s">
        <v>204</v>
      </c>
      <c r="D29" s="77">
        <v>1972</v>
      </c>
      <c r="E29" s="98">
        <v>1</v>
      </c>
      <c r="F29" s="77">
        <v>6</v>
      </c>
      <c r="G29" s="77">
        <v>6</v>
      </c>
      <c r="H29" s="77" t="s">
        <v>13</v>
      </c>
      <c r="I29" s="77" t="s">
        <v>223</v>
      </c>
      <c r="J29" s="77" t="s">
        <v>12</v>
      </c>
      <c r="K29" s="77" t="str">
        <f>IF(J29="syllables","1",IF(J29="trigrams","2",IF(J29="strings","3",IF(J29="visual array","4",IF(J29="characters","5",IF(J29="letters","6",IF(J29="free forms","7",IF(J29="odors","8",IF(J29="words","9",IF(J29="pictures","10",IF(J29="object pictures","11",IF(J29="faces","12",IF(J29="names","13",IF(J29="idioms","14",IF(J29="grades","15",IF(J29="syllable-digit pairs","16",IF(J29="trigram-word pairs","17",IF(J29="word-digit pairs","18",IF(J29="English-Swahili pairs","19",IF(J29="spatial position","20",IF(J29="word pairs","21",IF(J29="word triads","22",IF(J29="generated words","23",IF(J29="word definition pairs","24",IF(J29="math problems","25",IF(J29="famous faces","26",IF(J29="famous names","27",IF(J29="famous voices","28",IF(J29="television programs","29",IF(J29="race horses","30",IF(J29="new vocabulary","31",IF(J29="sentences","32",IF(J29="concepts","33",IF(J29="ad slides","34",IF(J29="scenes","35",IF(J29="famous scenes","36",IF(J29="poems","37",IF(J29="walk","38",IF(J29="faces and events","39",IF(J29="events and names","40",IF(J29="flashbulb","41",IF(J29="stories","42",IF(J29="course material","43",IF(J29="autobiographical","44",IF(J29="novels","45",IF(J29="public events","46",IF(J29="order","90","99")))))))))))))))))))))))))))))))))))))))))))))))</f>
        <v>9</v>
      </c>
      <c r="L29" s="77" t="str">
        <f>IF(J29="syllables","1",IF(J29="trigrams","1",IF(J29="strings","1",IF(J29="visual array","1",IF(J29="characters","1",IF(J29="letters","1",IF(J29="free forms","1",IF(J29="odors","2",IF(J29="words","2",IF(J29="pictures","2",IF(J29="object pictures","2",IF(J29="faces","2",IF(J29="names","2",IF(J29="idioms","2",IF(J29="grades","2",IF(J29="syllable-digit pairs","3",IF(J29="trigram-word pairs","3",IF(J29="word-digit pairs","3",IF(J29="English-Swahili pairs","3",IF(J29="spatial position","3",IF(J29="word pairs","4",IF(J29="word triads","4",IF(J29="generated words","4",IF(J29="word definition pairs","4",IF(J29="math problems","4",IF(J29="famous faces","4",IF(J29="famous names","4",IF(J29="famous voices","4",IF(J29="television programs","4",IF(J29="race horses","4",IF(J29="new vocabulary","4",IF(J29="sentences","5",IF(J29="concepts","5",IF(J29="ad slides","5",IF(J29="scenes","5",IF(J29="famous scenes","5",IF(J29="poems","6",IF(J29="walk","6",IF(J29="faces and events","6",IF(J29="events and names","6",IF(J29="flashbulb","7",IF(J29="stories","7",IF(J29="course material","7",IF(J29="autobiographical","7",IF(J29="novels","7",IF(J29="public events","7",IF(J29="order","90","99")))))))))))))))))))))))))))))))))))))))))))))))</f>
        <v>2</v>
      </c>
      <c r="M29" s="77" t="s">
        <v>195</v>
      </c>
      <c r="N29" s="77">
        <v>1</v>
      </c>
      <c r="O29" s="77" t="s">
        <v>195</v>
      </c>
      <c r="P29" s="77"/>
      <c r="Q29" s="77" t="s">
        <v>18</v>
      </c>
      <c r="R29" s="77" t="str">
        <f>IF(Q29="Free Recall","1",IF(Q29="Cued Recall","2",IF(Q29="Recognition","3",IF(Q29="Multiple Choice","4",IF(Q29="Savings","5",IF(Q29="Stem Completion","6",IF(Q29="Fragment Completion","7",IF(Q29="anagram solution","8",IF(Q29="Matching","9",IF(Q29="Problem Solving","10","99"))))))))))</f>
        <v>3</v>
      </c>
      <c r="S29" s="77" t="s">
        <v>196</v>
      </c>
      <c r="T29" s="96" t="s">
        <v>132</v>
      </c>
      <c r="U29" s="32">
        <f>IF(T29="within",1,0)</f>
        <v>1</v>
      </c>
      <c r="V29" s="96">
        <v>400</v>
      </c>
      <c r="W29" s="77">
        <f>F29*V29</f>
        <v>2400</v>
      </c>
      <c r="X29" s="77">
        <v>12</v>
      </c>
      <c r="Y29" s="98">
        <f>AV28</f>
        <v>288</v>
      </c>
      <c r="Z29" s="77" t="s">
        <v>221</v>
      </c>
      <c r="AA29" s="77">
        <v>25200</v>
      </c>
      <c r="AB29" s="77" t="str">
        <f>IF(AA29&lt;60,"1",IF(AA29&lt;=43200,"2",IF(AA29&lt;=777600,"3","4")))</f>
        <v>2</v>
      </c>
      <c r="AC29" s="100">
        <f>AVERAGE(AV28:DA28)</f>
        <v>8799</v>
      </c>
      <c r="AD29" s="77" t="str">
        <f>IF(AC29&lt;60,"1",IF(AC29&lt;=43200,"2",IF(AC29&lt;=777600,"3","4")))</f>
        <v>2</v>
      </c>
      <c r="AE29" s="98">
        <f>AA29-Y29</f>
        <v>24912</v>
      </c>
      <c r="AF29" s="99">
        <f>AV29</f>
        <v>2.44</v>
      </c>
      <c r="AG29" s="100">
        <f>((AW29-AV29)+(AX29-AW29)+(AY29-AX29)+(AZ29-AY29)+(BA29-AZ29)+(BB29-BA29)+(BC29-BB29)+(BD29-BC29)+(BE29-BD29)+(BF29-BE29)+(BG29-BF29))/11</f>
        <v>-0.14000000000000001</v>
      </c>
      <c r="AH29" s="84"/>
      <c r="AI29" s="100">
        <f>RSQ(AV29:BG29,AV28:BG28)</f>
        <v>0.87601557810489894</v>
      </c>
      <c r="AJ29" s="105">
        <f>SLOPE(AV29:BG29,AV28:BG28)</f>
        <v>-5.0548307421075858E-5</v>
      </c>
      <c r="AK29" s="100">
        <f>INTERCEPT(AV29:BG29,AV28:BG28)</f>
        <v>2.0831078903313802</v>
      </c>
      <c r="AL29" s="100">
        <f>INDEX(LINEST(LN(AV29:BG29),LN(AV28:BG28),TRUE,TRUE),3,1)</f>
        <v>0.89982330547151279</v>
      </c>
      <c r="AM29" s="100">
        <f>INDEX(LINEST(LN(AV29:BG29),LN(AV28:BG28)),1)</f>
        <v>-0.19278369016112795</v>
      </c>
      <c r="AN29" s="100">
        <f>EXP(INDEX(LINEST(LN(AV29:BG29),LN(AV28:BG28)),1,2))</f>
        <v>7.7346071499252416</v>
      </c>
      <c r="AO29" s="104">
        <f>INDEX(LINEST((AV29:BG29),LN(AV28:BG28),TRUE,TRUE),3,1)</f>
        <v>0.94968430152911099</v>
      </c>
      <c r="AP29" s="104">
        <f>INDEX(LINEST((AV29:BG29),LN(AV28:BG28)),1)</f>
        <v>-0.30663216042222707</v>
      </c>
      <c r="AQ29" s="48">
        <f>INDEX(LINEST(LN(AV29:BG29),SQRT(AV28:BG28),TRUE,TRUE),3,1)</f>
        <v>0.95300608148307209</v>
      </c>
      <c r="AR29" s="56">
        <f>INDEX(LINEST(LN(AV29:BG29),SQRT((AV28:BG28))),1)</f>
        <v>-5.9466968210296744E-3</v>
      </c>
      <c r="AS29" s="49">
        <f>INDEX(LINEST(1/(AV29:BG29),1/(SQRT(AV28:BG28)),TRUE,TRUE),3,1)</f>
        <v>0.62585451557264382</v>
      </c>
      <c r="AT29" s="49">
        <f>INDEX(LINEST(1/(AV29:BG29),1/SQRT(AV28:BG28)),1)</f>
        <v>-10.462015601026918</v>
      </c>
      <c r="AU29" s="63"/>
      <c r="AV29" s="65">
        <v>2.44</v>
      </c>
      <c r="AW29" s="65">
        <v>2.2200000000000002</v>
      </c>
      <c r="AX29" s="65">
        <v>1.89</v>
      </c>
      <c r="AY29" s="65">
        <v>2.1</v>
      </c>
      <c r="AZ29" s="65">
        <v>1.9</v>
      </c>
      <c r="BA29" s="65">
        <v>1.7</v>
      </c>
      <c r="BB29" s="65">
        <v>1.46</v>
      </c>
      <c r="BC29" s="65">
        <v>1.48</v>
      </c>
      <c r="BD29" s="65">
        <v>1.37</v>
      </c>
      <c r="BE29" s="65">
        <v>1.19</v>
      </c>
      <c r="BF29" s="65">
        <v>1.01</v>
      </c>
      <c r="BG29" s="65">
        <v>0.9</v>
      </c>
      <c r="BH29" s="65"/>
      <c r="BI29" s="65"/>
      <c r="BJ29" s="65"/>
      <c r="BK29" s="65"/>
      <c r="BL29" s="61"/>
      <c r="BM29" s="61"/>
      <c r="BN29" s="61"/>
      <c r="BO29" s="61"/>
      <c r="BP29" s="61"/>
      <c r="BQ29" s="61"/>
      <c r="BR29" s="61"/>
      <c r="BS29" s="61"/>
      <c r="BT29" s="61"/>
      <c r="BU29" s="61"/>
      <c r="BV29" s="61"/>
      <c r="BW29" s="61"/>
      <c r="BX29" s="61"/>
      <c r="BY29" s="61"/>
      <c r="BZ29" s="61"/>
      <c r="CA29" s="61"/>
      <c r="CB29" s="61"/>
      <c r="CC29" s="61"/>
      <c r="CD29" s="61"/>
      <c r="CE29" s="61"/>
      <c r="CF29" s="61"/>
      <c r="CG29" s="61"/>
      <c r="CH29" s="61"/>
      <c r="CI29" s="61"/>
      <c r="CJ29" s="61"/>
      <c r="CK29" s="61"/>
      <c r="CL29" s="61"/>
      <c r="CM29" s="61"/>
      <c r="CN29" s="61"/>
      <c r="CO29" s="61"/>
      <c r="CP29" s="61"/>
      <c r="CQ29" s="61"/>
      <c r="CR29" s="59"/>
      <c r="CS29" s="59"/>
      <c r="CT29" s="59"/>
      <c r="CU29" s="59"/>
    </row>
    <row r="30" spans="1:99" s="60" customFormat="1" ht="12" customHeight="1" x14ac:dyDescent="0.2">
      <c r="A30" s="94">
        <v>43509</v>
      </c>
      <c r="B30" s="101"/>
      <c r="C30" s="101"/>
      <c r="D30" s="77"/>
      <c r="E30" s="98"/>
      <c r="F30" s="77"/>
      <c r="G30" s="77"/>
      <c r="H30" s="77"/>
      <c r="I30" s="77"/>
      <c r="J30" s="77"/>
      <c r="K30" s="102"/>
      <c r="L30" s="102"/>
      <c r="M30" s="77"/>
      <c r="N30" s="77"/>
      <c r="O30" s="77"/>
      <c r="P30" s="77"/>
      <c r="Q30" s="77"/>
      <c r="R30" s="77"/>
      <c r="S30" s="77"/>
      <c r="T30" s="96"/>
      <c r="U30" s="96"/>
      <c r="V30" s="77"/>
      <c r="W30" s="77"/>
      <c r="X30" s="77"/>
      <c r="Y30" s="98"/>
      <c r="Z30" s="77"/>
      <c r="AA30" s="77"/>
      <c r="AB30" s="77"/>
      <c r="AC30" s="77"/>
      <c r="AD30" s="77"/>
      <c r="AE30" s="77"/>
      <c r="AF30" s="99"/>
      <c r="AG30" s="100"/>
      <c r="AH30" s="84"/>
      <c r="AI30" s="100"/>
      <c r="AJ30" s="105"/>
      <c r="AK30" s="100"/>
      <c r="AL30" s="100"/>
      <c r="AM30" s="100"/>
      <c r="AN30" s="100"/>
      <c r="AO30" s="100"/>
      <c r="AP30" s="100"/>
      <c r="AQ30" s="100"/>
      <c r="AR30" s="105"/>
      <c r="AS30" s="100"/>
      <c r="AT30" s="100"/>
      <c r="AU30" s="62"/>
      <c r="AV30" s="64">
        <f>60*0.117</f>
        <v>7.0200000000000005</v>
      </c>
      <c r="AW30" s="64">
        <f>60*0.175</f>
        <v>10.5</v>
      </c>
      <c r="AX30" s="64">
        <f>60*0.233</f>
        <v>13.98</v>
      </c>
      <c r="AY30" s="64">
        <f>60*0.35</f>
        <v>21</v>
      </c>
      <c r="AZ30" s="64">
        <f>60*0.467</f>
        <v>28.020000000000003</v>
      </c>
      <c r="BA30" s="64">
        <f>60*0.617</f>
        <v>37.019999999999996</v>
      </c>
      <c r="BB30" s="64">
        <f>60*0.708</f>
        <v>42.48</v>
      </c>
      <c r="BC30" s="64">
        <f>60*1.167</f>
        <v>70.02</v>
      </c>
      <c r="BD30" s="64">
        <f>60*1.75</f>
        <v>105</v>
      </c>
      <c r="BE30" s="64">
        <f>60*2.917</f>
        <v>175.01999999999998</v>
      </c>
      <c r="BF30" s="64">
        <f>60*5.833</f>
        <v>349.98</v>
      </c>
      <c r="BG30" s="64">
        <f>60*11.667</f>
        <v>700.02</v>
      </c>
      <c r="BH30" s="65"/>
      <c r="BI30" s="65"/>
      <c r="BJ30" s="65"/>
      <c r="BK30" s="65"/>
      <c r="BL30" s="61"/>
      <c r="BM30" s="61"/>
      <c r="BN30" s="61"/>
      <c r="BO30" s="61"/>
      <c r="BP30" s="61"/>
      <c r="BQ30" s="61"/>
      <c r="BR30" s="61"/>
      <c r="BS30" s="61"/>
      <c r="BT30" s="61"/>
      <c r="BU30" s="61"/>
      <c r="BV30" s="61"/>
      <c r="BW30" s="61"/>
      <c r="BX30" s="61"/>
      <c r="BY30" s="61"/>
      <c r="BZ30" s="61"/>
      <c r="CA30" s="61"/>
      <c r="CB30" s="61"/>
      <c r="CC30" s="61"/>
      <c r="CD30" s="61"/>
      <c r="CE30" s="61"/>
      <c r="CF30" s="61"/>
      <c r="CG30" s="61"/>
      <c r="CH30" s="61"/>
      <c r="CI30" s="61"/>
      <c r="CJ30" s="61"/>
      <c r="CK30" s="61"/>
      <c r="CL30" s="61"/>
      <c r="CM30" s="61"/>
      <c r="CN30" s="61"/>
      <c r="CO30" s="61"/>
      <c r="CP30" s="61"/>
      <c r="CQ30" s="61"/>
      <c r="CR30" s="59"/>
      <c r="CS30" s="59"/>
      <c r="CT30" s="59"/>
      <c r="CU30" s="59"/>
    </row>
    <row r="31" spans="1:99" s="60" customFormat="1" ht="12" customHeight="1" x14ac:dyDescent="0.2">
      <c r="A31" s="94">
        <v>43509</v>
      </c>
      <c r="B31" s="101" t="s">
        <v>228</v>
      </c>
      <c r="C31" s="101" t="s">
        <v>33</v>
      </c>
      <c r="D31" s="77">
        <v>1974</v>
      </c>
      <c r="E31" s="98">
        <v>1</v>
      </c>
      <c r="F31" s="77">
        <v>6</v>
      </c>
      <c r="G31" s="77">
        <v>6</v>
      </c>
      <c r="H31" s="77" t="s">
        <v>24</v>
      </c>
      <c r="I31" s="77" t="s">
        <v>229</v>
      </c>
      <c r="J31" s="77" t="s">
        <v>84</v>
      </c>
      <c r="K31" s="77" t="str">
        <f>IF(J31="syllables","1",IF(J31="trigrams","2",IF(J31="strings","3",IF(J31="visual array","4",IF(J31="characters","5",IF(J31="letters","6",IF(J31="free forms","7",IF(J31="odors","8",IF(J31="words","9",IF(J31="pictures","10",IF(J31="object pictures","11",IF(J31="faces","12",IF(J31="names","13",IF(J31="idioms","14",IF(J31="grades","15",IF(J31="syllable-digit pairs","16",IF(J31="trigram-word pairs","17",IF(J31="word-digit pairs","18",IF(J31="English-Swahili pairs","19",IF(J31="spatial position","20",IF(J31="word pairs","21",IF(J31="word triads","22",IF(J31="generated words","23",IF(J31="word definition pairs","24",IF(J31="math problems","25",IF(J31="famous faces","26",IF(J31="famous names","27",IF(J31="famous voices","28",IF(J31="television programs","29",IF(J31="race horses","30",IF(J31="new vocabulary","31",IF(J31="sentences","32",IF(J31="concepts","33",IF(J31="ad slides","34",IF(J31="scenes","35",IF(J31="famous scenes","36",IF(J31="poems","37",IF(J31="walk","38",IF(J31="faces and events","39",IF(J31="events and names","40",IF(J31="flashbulb","41",IF(J31="stories","42",IF(J31="course material","43",IF(J31="autobiographical","44",IF(J31="novels","45",IF(J31="public events","46",IF(J31="order","90","99")))))))))))))))))))))))))))))))))))))))))))))))</f>
        <v>21</v>
      </c>
      <c r="L31" s="77" t="str">
        <f>IF(J31="syllables","1",IF(J31="trigrams","1",IF(J31="strings","1",IF(J31="visual array","1",IF(J31="characters","1",IF(J31="letters","1",IF(J31="free forms","1",IF(J31="odors","2",IF(J31="words","2",IF(J31="pictures","2",IF(J31="object pictures","2",IF(J31="faces","2",IF(J31="names","2",IF(J31="idioms","2",IF(J31="grades","2",IF(J31="syllable-digit pairs","3",IF(J31="trigram-word pairs","3",IF(J31="word-digit pairs","3",IF(J31="English-Swahili pairs","3",IF(J31="spatial position","3",IF(J31="word pairs","4",IF(J31="word triads","4",IF(J31="generated words","4",IF(J31="word definition pairs","4",IF(J31="math problems","4",IF(J31="famous faces","4",IF(J31="famous names","4",IF(J31="famous voices","4",IF(J31="television programs","4",IF(J31="race horses","4",IF(J31="new vocabulary","4",IF(J31="sentences","5",IF(J31="concepts","5",IF(J31="ad slides","5",IF(J31="scenes","5",IF(J31="famous scenes","5",IF(J31="poems","6",IF(J31="walk","6",IF(J31="faces and events","6",IF(J31="events and names","6",IF(J31="flashbulb","7",IF(J31="stories","7",IF(J31="course material","7",IF(J31="autobiographical","7",IF(J31="novels","7",IF(J31="public events","7",IF(J31="order","90","99")))))))))))))))))))))))))))))))))))))))))))))))</f>
        <v>4</v>
      </c>
      <c r="M31" s="77" t="s">
        <v>195</v>
      </c>
      <c r="N31" s="77">
        <v>1</v>
      </c>
      <c r="O31" s="77" t="s">
        <v>195</v>
      </c>
      <c r="P31" s="77"/>
      <c r="Q31" s="77" t="s">
        <v>18</v>
      </c>
      <c r="R31" s="77" t="str">
        <f>IF(Q31="Free Recall","1",IF(Q31="Cued Recall","2",IF(Q31="Recognition","3",IF(Q31="Multiple Choice","4",IF(Q31="Savings","5",IF(Q31="Stem Completion","6",IF(Q31="Fragment Completion","7",IF(Q31="anagram solution","8",IF(Q31="Matching","9",IF(Q31="Problem Solving","10","99"))))))))))</f>
        <v>3</v>
      </c>
      <c r="S31" s="77" t="s">
        <v>196</v>
      </c>
      <c r="T31" s="96" t="s">
        <v>132</v>
      </c>
      <c r="U31" s="32">
        <f>IF(T31="within",1,0)</f>
        <v>1</v>
      </c>
      <c r="V31" s="96">
        <v>600</v>
      </c>
      <c r="W31" s="77">
        <f>F31*V31</f>
        <v>3600</v>
      </c>
      <c r="X31" s="77">
        <v>12</v>
      </c>
      <c r="Y31" s="98">
        <f>AV30</f>
        <v>7.0200000000000005</v>
      </c>
      <c r="Z31" s="77" t="s">
        <v>230</v>
      </c>
      <c r="AA31" s="77">
        <v>700</v>
      </c>
      <c r="AB31" s="77" t="str">
        <f>IF(AA31&lt;60,"1",IF(AA31&lt;=43200,"2",IF(AA31&lt;=777600,"3","4")))</f>
        <v>2</v>
      </c>
      <c r="AC31" s="100">
        <f>AVERAGE(AV30:DA30)</f>
        <v>130.005</v>
      </c>
      <c r="AD31" s="77" t="str">
        <f>IF(AC31&lt;60,"1",IF(AC31&lt;=43200,"2",IF(AC31&lt;=777600,"3","4")))</f>
        <v>2</v>
      </c>
      <c r="AE31" s="98">
        <f>AA31-Y31</f>
        <v>692.98</v>
      </c>
      <c r="AF31" s="99">
        <f>AV31</f>
        <v>4.46</v>
      </c>
      <c r="AG31" s="100">
        <f>((AW31-AV31)+(AX31-AW31)+(AY31-AX31)+(AZ31-AY31)+(BA31-AZ31)+(BB31-BA31)+(BC31-BB31)+(BD31-BC31)+(BE31-BD31)+(BF31-BE31)+(BG31-BF31))/11</f>
        <v>-0.21</v>
      </c>
      <c r="AH31" s="84"/>
      <c r="AI31" s="100">
        <f>RSQ(AV31:BG31,AV30:BG30)</f>
        <v>0.71938183053187466</v>
      </c>
      <c r="AJ31" s="105">
        <f>SLOPE(AV31:BG31,AV30:BG30)</f>
        <v>-3.0869652591551059E-3</v>
      </c>
      <c r="AK31" s="100">
        <f>INTERCEPT(AV31:BG31,AV30:BG30)</f>
        <v>3.9146542518497931</v>
      </c>
      <c r="AL31" s="100">
        <f>INDEX(LINEST(LN(AV31:BG31),LN(AV30:BG30),TRUE,TRUE),3,1)</f>
        <v>0.8426931247078685</v>
      </c>
      <c r="AM31" s="100">
        <f>INDEX(LINEST(LN(AV31:BG31),LN(AV30:BG30)),1)</f>
        <v>-0.15182155030122266</v>
      </c>
      <c r="AN31" s="100">
        <f>EXP(INDEX(LINEST(LN(AV31:BG31),LN(AV30:BG30)),1,2))</f>
        <v>6.2315244210124145</v>
      </c>
      <c r="AO31" s="104">
        <f>INDEX(LINEST((AV31:BG31),LN(AV30:BG30),TRUE,TRUE),3,1)</f>
        <v>0.83851218677390282</v>
      </c>
      <c r="AP31" s="104">
        <f>INDEX(LINEST((AV31:BG31),LN(AV30:BG30)),1)</f>
        <v>-0.48135745300306015</v>
      </c>
      <c r="AQ31" s="48">
        <f>INDEX(LINEST(LN(AV31:BG31),SQRT(AV30:BG30),TRUE,TRUE),3,1)</f>
        <v>0.88988718902968422</v>
      </c>
      <c r="AR31" s="56">
        <f>INDEX(LINEST(LN(AV31:BG31),SQRT((AV30:BG30))),1)</f>
        <v>-3.0778280496874613E-2</v>
      </c>
      <c r="AS31" s="49">
        <f>INDEX(LINEST(1/(AV31:BG31),1/(SQRT(AV30:BG30)),TRUE,TRUE),3,1)</f>
        <v>0.59459853328843781</v>
      </c>
      <c r="AT31" s="49">
        <f>INDEX(LINEST(1/(AV31:BG31),1/SQRT(AV30:BG30)),1)</f>
        <v>-0.56357058213924083</v>
      </c>
      <c r="AU31" s="63"/>
      <c r="AV31" s="65">
        <v>4.46</v>
      </c>
      <c r="AW31" s="65">
        <v>3.75</v>
      </c>
      <c r="AX31" s="65">
        <v>4.32</v>
      </c>
      <c r="AY31" s="65">
        <v>3.91</v>
      </c>
      <c r="AZ31" s="65">
        <v>4.1399999999999997</v>
      </c>
      <c r="BA31" s="65">
        <v>3.61</v>
      </c>
      <c r="BB31" s="65">
        <v>3.33</v>
      </c>
      <c r="BC31" s="65">
        <v>4</v>
      </c>
      <c r="BD31" s="65">
        <v>3.24</v>
      </c>
      <c r="BE31" s="65">
        <v>2.91</v>
      </c>
      <c r="BF31" s="65">
        <v>2.34</v>
      </c>
      <c r="BG31" s="65">
        <v>2.15</v>
      </c>
      <c r="BH31" s="65"/>
      <c r="BI31" s="65"/>
      <c r="BJ31" s="65"/>
      <c r="BK31" s="65"/>
      <c r="BL31" s="61"/>
      <c r="BM31" s="61"/>
      <c r="BN31" s="61"/>
      <c r="BO31" s="61"/>
      <c r="BP31" s="61"/>
      <c r="BQ31" s="61"/>
      <c r="BR31" s="61"/>
      <c r="BS31" s="61"/>
      <c r="BT31" s="61"/>
      <c r="BU31" s="61"/>
      <c r="BV31" s="61"/>
      <c r="BW31" s="61"/>
      <c r="BX31" s="61"/>
      <c r="BY31" s="61"/>
      <c r="BZ31" s="61"/>
      <c r="CA31" s="61"/>
      <c r="CB31" s="61"/>
      <c r="CC31" s="61"/>
      <c r="CD31" s="61"/>
      <c r="CE31" s="61"/>
      <c r="CF31" s="61"/>
      <c r="CG31" s="61"/>
      <c r="CH31" s="61"/>
      <c r="CI31" s="61"/>
      <c r="CJ31" s="61"/>
      <c r="CK31" s="61"/>
      <c r="CL31" s="61"/>
      <c r="CM31" s="61"/>
      <c r="CN31" s="61"/>
      <c r="CO31" s="61"/>
      <c r="CP31" s="61"/>
      <c r="CQ31" s="61"/>
      <c r="CR31" s="59"/>
      <c r="CS31" s="59"/>
      <c r="CT31" s="59"/>
      <c r="CU31" s="59"/>
    </row>
    <row r="32" spans="1:99" s="9" customFormat="1" ht="12" customHeight="1" x14ac:dyDescent="0.2">
      <c r="A32" s="37"/>
      <c r="B32" s="1"/>
      <c r="C32" s="1"/>
      <c r="D32" s="32"/>
      <c r="E32" s="41"/>
      <c r="F32" s="32"/>
      <c r="G32" s="32"/>
      <c r="H32" s="32"/>
      <c r="I32" s="32"/>
      <c r="J32" s="32"/>
      <c r="K32" s="32"/>
      <c r="L32" s="32"/>
      <c r="M32" s="32"/>
      <c r="N32" s="32"/>
      <c r="O32" s="32"/>
      <c r="P32" s="32"/>
      <c r="Q32" s="32"/>
      <c r="R32" s="32"/>
      <c r="S32" s="32"/>
      <c r="T32" s="31"/>
      <c r="U32" s="32"/>
      <c r="V32" s="31"/>
      <c r="W32" s="32"/>
      <c r="X32" s="32"/>
      <c r="Y32" s="41"/>
      <c r="Z32" s="32"/>
      <c r="AA32" s="33"/>
      <c r="AB32" s="32"/>
      <c r="AC32" s="28"/>
      <c r="AD32" s="32"/>
      <c r="AE32" s="41"/>
      <c r="AF32" s="45"/>
      <c r="AG32" s="28"/>
      <c r="AH32" s="4"/>
      <c r="AI32" s="28"/>
      <c r="AJ32" s="51"/>
      <c r="AK32" s="28"/>
      <c r="AL32" s="28"/>
      <c r="AM32" s="28"/>
      <c r="AN32" s="28"/>
      <c r="AO32" s="47"/>
      <c r="AP32" s="47"/>
      <c r="AQ32" s="48"/>
      <c r="AR32" s="56"/>
      <c r="AS32" s="49"/>
      <c r="AT32" s="49"/>
      <c r="AU32" s="4"/>
      <c r="AV32" s="25"/>
      <c r="AW32" s="25"/>
      <c r="AX32" s="25"/>
      <c r="AY32" s="25"/>
      <c r="AZ32" s="25"/>
      <c r="BA32" s="12"/>
      <c r="BB32" s="1"/>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1"/>
      <c r="CS32" s="1"/>
      <c r="CT32" s="1"/>
      <c r="CU32" s="1"/>
    </row>
    <row r="33" spans="11:39" ht="12" customHeight="1" x14ac:dyDescent="0.2">
      <c r="R33" s="32"/>
      <c r="W33" s="32"/>
      <c r="X33" s="36">
        <f>SUM(X2:X7)</f>
        <v>15</v>
      </c>
      <c r="Y33" s="41"/>
      <c r="AB33" s="32"/>
      <c r="AE33" s="32"/>
      <c r="AF33" s="45"/>
      <c r="AL33" s="68" t="s">
        <v>135</v>
      </c>
      <c r="AM33" s="29">
        <f>AVERAGE(AM2:AM7)</f>
        <v>-0.21510108093765359</v>
      </c>
    </row>
    <row r="34" spans="11:39" ht="12" customHeight="1" x14ac:dyDescent="0.2">
      <c r="K34" s="32"/>
      <c r="L34" s="32"/>
      <c r="R34" s="32"/>
      <c r="W34" s="32"/>
      <c r="Y34" s="41"/>
      <c r="AB34" s="32"/>
      <c r="AE34" s="41"/>
      <c r="AF34" s="45"/>
      <c r="AL34" s="23" t="s">
        <v>188</v>
      </c>
      <c r="AM34" s="29">
        <f>MEDIAN(AM2:AM7)</f>
        <v>-0.231605695561754</v>
      </c>
    </row>
    <row r="35" spans="11:39" ht="12" customHeight="1" x14ac:dyDescent="0.2">
      <c r="R35" s="32"/>
      <c r="W35" s="32"/>
      <c r="Y35" s="41"/>
      <c r="AB35" s="32"/>
      <c r="AE35" s="32"/>
      <c r="AF35" s="45"/>
      <c r="AL35" s="68" t="s">
        <v>167</v>
      </c>
      <c r="AM35" s="29">
        <f>MIN(AM2:AM7)</f>
        <v>-0.38727369123979294</v>
      </c>
    </row>
    <row r="36" spans="11:39" ht="12" customHeight="1" x14ac:dyDescent="0.2">
      <c r="K36" s="32"/>
      <c r="L36" s="32"/>
      <c r="R36" s="32"/>
      <c r="W36" s="32"/>
      <c r="Y36" s="41"/>
      <c r="AB36" s="32"/>
      <c r="AE36" s="41"/>
      <c r="AF36" s="45"/>
      <c r="AL36" s="68" t="s">
        <v>166</v>
      </c>
      <c r="AM36" s="29">
        <f>MAX(AM2:AM7)</f>
        <v>-2.6423856011413897E-2</v>
      </c>
    </row>
    <row r="37" spans="11:39" ht="12" customHeight="1" x14ac:dyDescent="0.2">
      <c r="R37" s="32"/>
      <c r="W37" s="32"/>
      <c r="Y37" s="41"/>
      <c r="AB37" s="32"/>
      <c r="AE37" s="32"/>
      <c r="AF37" s="45"/>
      <c r="AL37" s="68" t="s">
        <v>168</v>
      </c>
      <c r="AM37" s="36">
        <f xml:space="preserve"> STDEV(AM2:AM7)</f>
        <v>0.1809902003535126</v>
      </c>
    </row>
    <row r="38" spans="11:39" ht="12" customHeight="1" x14ac:dyDescent="0.2">
      <c r="K38" s="32"/>
      <c r="L38" s="32"/>
      <c r="R38" s="32"/>
      <c r="W38" s="32"/>
      <c r="Y38" s="41"/>
      <c r="AB38" s="32"/>
      <c r="AE38" s="41"/>
      <c r="AF38" s="45"/>
      <c r="AL38" s="23" t="s">
        <v>187</v>
      </c>
      <c r="AM38" s="36">
        <f xml:space="preserve"> STDEV(AM2:AM7)/SQRT(COUNT(AM2:AM7))</f>
        <v>0.1044947408947848</v>
      </c>
    </row>
    <row r="39" spans="11:39" ht="12" customHeight="1" x14ac:dyDescent="0.2">
      <c r="R39" s="32"/>
      <c r="W39" s="32"/>
      <c r="Y39" s="41"/>
      <c r="AB39" s="32"/>
      <c r="AE39" s="32"/>
      <c r="AF39" s="45"/>
      <c r="AL39" s="69"/>
      <c r="AM39" s="70"/>
    </row>
    <row r="40" spans="11:39" ht="12" customHeight="1" x14ac:dyDescent="0.2">
      <c r="K40" s="32"/>
      <c r="L40" s="32"/>
      <c r="R40" s="32"/>
      <c r="W40" s="32"/>
      <c r="Y40" s="41"/>
      <c r="AB40" s="32"/>
      <c r="AE40" s="41"/>
      <c r="AF40" s="45"/>
      <c r="AL40" s="69" t="s">
        <v>45</v>
      </c>
      <c r="AM40" s="70">
        <f>AM33-(3*AM37)</f>
        <v>-0.7580716819981913</v>
      </c>
    </row>
    <row r="41" spans="11:39" ht="12" customHeight="1" x14ac:dyDescent="0.2">
      <c r="R41" s="32"/>
      <c r="W41" s="32"/>
      <c r="Y41" s="41"/>
      <c r="AB41" s="32"/>
      <c r="AE41" s="32"/>
      <c r="AF41" s="45"/>
      <c r="AL41" s="69" t="s">
        <v>44</v>
      </c>
      <c r="AM41" s="70">
        <f>AM33+(3*AM37)</f>
        <v>0.32786952012288417</v>
      </c>
    </row>
    <row r="42" spans="11:39" ht="12" customHeight="1" x14ac:dyDescent="0.2">
      <c r="K42" s="32"/>
      <c r="L42" s="32"/>
      <c r="R42" s="32"/>
      <c r="W42" s="32"/>
      <c r="Y42" s="41"/>
      <c r="AB42" s="32"/>
      <c r="AE42" s="41"/>
      <c r="AF42" s="45"/>
    </row>
    <row r="43" spans="11:39" ht="12" customHeight="1" x14ac:dyDescent="0.2">
      <c r="R43" s="32"/>
      <c r="W43" s="32"/>
      <c r="Y43" s="41"/>
      <c r="AB43" s="32"/>
      <c r="AE43" s="32"/>
      <c r="AF43" s="45"/>
    </row>
    <row r="44" spans="11:39" ht="12" customHeight="1" x14ac:dyDescent="0.2">
      <c r="K44" s="32"/>
      <c r="L44" s="32"/>
      <c r="R44" s="32"/>
      <c r="W44" s="32"/>
      <c r="Y44" s="41"/>
      <c r="AB44" s="32"/>
      <c r="AE44" s="41"/>
      <c r="AF44" s="45"/>
    </row>
    <row r="45" spans="11:39" ht="12" customHeight="1" x14ac:dyDescent="0.2">
      <c r="W45" s="32"/>
      <c r="Y45" s="41"/>
      <c r="AB45" s="32"/>
      <c r="AE45" s="32"/>
      <c r="AF45" s="45"/>
    </row>
    <row r="46" spans="11:39" ht="12" customHeight="1" x14ac:dyDescent="0.2">
      <c r="K46" s="32"/>
      <c r="L46" s="32"/>
      <c r="W46" s="32"/>
      <c r="Y46" s="41"/>
      <c r="AE46" s="41"/>
      <c r="AF46" s="45"/>
    </row>
    <row r="47" spans="11:39" ht="12" customHeight="1" x14ac:dyDescent="0.2">
      <c r="W47" s="32"/>
      <c r="Y47" s="41"/>
      <c r="AE47" s="32"/>
      <c r="AF47" s="45"/>
    </row>
    <row r="48" spans="11:39" ht="12" customHeight="1" x14ac:dyDescent="0.2">
      <c r="K48" s="32"/>
      <c r="L48" s="32"/>
      <c r="W48" s="32"/>
      <c r="Y48" s="41"/>
      <c r="AE48" s="41"/>
      <c r="AF48" s="45"/>
    </row>
    <row r="49" spans="11:32" ht="12" customHeight="1" x14ac:dyDescent="0.2">
      <c r="W49" s="32"/>
      <c r="Y49" s="41"/>
      <c r="AE49" s="32"/>
      <c r="AF49" s="45"/>
    </row>
    <row r="50" spans="11:32" ht="12" customHeight="1" x14ac:dyDescent="0.2">
      <c r="K50" s="32"/>
      <c r="L50" s="32"/>
      <c r="W50" s="32"/>
      <c r="Y50" s="41"/>
      <c r="AE50" s="41"/>
      <c r="AF50" s="45"/>
    </row>
    <row r="51" spans="11:32" ht="12" customHeight="1" x14ac:dyDescent="0.2">
      <c r="W51" s="32"/>
      <c r="Y51" s="41"/>
      <c r="AE51" s="32"/>
      <c r="AF51" s="45"/>
    </row>
    <row r="52" spans="11:32" ht="12" customHeight="1" x14ac:dyDescent="0.2">
      <c r="K52" s="32"/>
      <c r="L52" s="32"/>
      <c r="W52" s="32"/>
      <c r="Y52" s="41"/>
      <c r="AE52" s="41"/>
      <c r="AF52" s="45"/>
    </row>
    <row r="54" spans="11:32" ht="12" customHeight="1" x14ac:dyDescent="0.2">
      <c r="K54" s="32"/>
      <c r="L54" s="32"/>
    </row>
  </sheetData>
  <conditionalFormatting sqref="AI32:AP32">
    <cfRule type="expression" dxfId="381" priority="1198">
      <formula>MOD(ROW(),2)=1</formula>
    </cfRule>
  </conditionalFormatting>
  <conditionalFormatting sqref="Y35">
    <cfRule type="expression" dxfId="380" priority="716">
      <formula>MOD(ROW(),2)=1</formula>
    </cfRule>
  </conditionalFormatting>
  <conditionalFormatting sqref="Y39">
    <cfRule type="expression" dxfId="379" priority="715">
      <formula>MOD(ROW(),2)=1</formula>
    </cfRule>
  </conditionalFormatting>
  <conditionalFormatting sqref="Y43">
    <cfRule type="expression" dxfId="378" priority="714">
      <formula>MOD(ROW(),2)=1</formula>
    </cfRule>
  </conditionalFormatting>
  <conditionalFormatting sqref="Y47">
    <cfRule type="expression" dxfId="377" priority="713">
      <formula>MOD(ROW(),2)=1</formula>
    </cfRule>
  </conditionalFormatting>
  <conditionalFormatting sqref="Y51">
    <cfRule type="expression" dxfId="376" priority="712">
      <formula>MOD(ROW(),2)=1</formula>
    </cfRule>
  </conditionalFormatting>
  <conditionalFormatting sqref="W35">
    <cfRule type="expression" dxfId="375" priority="406">
      <formula>MOD(ROW(),2)=1</formula>
    </cfRule>
  </conditionalFormatting>
  <conditionalFormatting sqref="W39">
    <cfRule type="expression" dxfId="374" priority="405">
      <formula>MOD(ROW(),2)=1</formula>
    </cfRule>
  </conditionalFormatting>
  <conditionalFormatting sqref="W43">
    <cfRule type="expression" dxfId="373" priority="404">
      <formula>MOD(ROW(),2)=1</formula>
    </cfRule>
  </conditionalFormatting>
  <conditionalFormatting sqref="W47">
    <cfRule type="expression" dxfId="372" priority="403">
      <formula>MOD(ROW(),2)=1</formula>
    </cfRule>
  </conditionalFormatting>
  <conditionalFormatting sqref="W51">
    <cfRule type="expression" dxfId="371" priority="402">
      <formula>MOD(ROW(),2)=1</formula>
    </cfRule>
  </conditionalFormatting>
  <conditionalFormatting sqref="Y18">
    <cfRule type="expression" dxfId="370" priority="43">
      <formula>MOD(ROW(),2)=1</formula>
    </cfRule>
  </conditionalFormatting>
  <conditionalFormatting sqref="Y26">
    <cfRule type="expression" dxfId="369" priority="41">
      <formula>MOD(ROW(),2)=1</formula>
    </cfRule>
  </conditionalFormatting>
  <conditionalFormatting sqref="U20">
    <cfRule type="expression" dxfId="368" priority="10">
      <formula>MOD(ROW(),2)=1</formula>
    </cfRule>
  </conditionalFormatting>
  <conditionalFormatting sqref="U24">
    <cfRule type="expression" dxfId="367" priority="8">
      <formula>MOD(ROW(),2)=1</formula>
    </cfRule>
  </conditionalFormatting>
  <conditionalFormatting sqref="AC2 AG2">
    <cfRule type="expression" dxfId="366" priority="141">
      <formula>MOD(ROW(),2)=1</formula>
    </cfRule>
  </conditionalFormatting>
  <conditionalFormatting sqref="AD2">
    <cfRule type="expression" dxfId="365" priority="134">
      <formula>MOD(ROW(),2)=1</formula>
    </cfRule>
  </conditionalFormatting>
  <conditionalFormatting sqref="Y2">
    <cfRule type="expression" dxfId="364" priority="124">
      <formula>MOD(ROW(),2)=1</formula>
    </cfRule>
  </conditionalFormatting>
  <conditionalFormatting sqref="W2">
    <cfRule type="expression" dxfId="363" priority="103">
      <formula>MOD(ROW(),2)=1</formula>
    </cfRule>
  </conditionalFormatting>
  <conditionalFormatting sqref="U2">
    <cfRule type="expression" dxfId="362" priority="81">
      <formula>MOD(ROW(),2)=1</formula>
    </cfRule>
  </conditionalFormatting>
  <conditionalFormatting sqref="AC4 AC6 AC8 AC10 AC12 AC14 AC16 AC18 AC20 AC22 AC24 AC26 AC28 AC30 AG4 AG30 AG28 AG26 AG24 AG22 AG20 AG18 AG16 AG14 AG12 AG10 AG8 AG6">
    <cfRule type="expression" dxfId="361" priority="49">
      <formula>MOD(ROW(),2)=1</formula>
    </cfRule>
  </conditionalFormatting>
  <conditionalFormatting sqref="AB26">
    <cfRule type="expression" dxfId="360" priority="48">
      <formula>MOD(ROW(),2)=1</formula>
    </cfRule>
  </conditionalFormatting>
  <conditionalFormatting sqref="AD6 AD8 AD30 AD10">
    <cfRule type="expression" dxfId="359" priority="47">
      <formula>MOD(ROW(),2)=1</formula>
    </cfRule>
  </conditionalFormatting>
  <conditionalFormatting sqref="Y6">
    <cfRule type="expression" dxfId="358" priority="46">
      <formula>MOD(ROW(),2)=1</formula>
    </cfRule>
  </conditionalFormatting>
  <conditionalFormatting sqref="Y10">
    <cfRule type="expression" dxfId="357" priority="45">
      <formula>MOD(ROW(),2)=1</formula>
    </cfRule>
  </conditionalFormatting>
  <conditionalFormatting sqref="Y14">
    <cfRule type="expression" dxfId="356" priority="44">
      <formula>MOD(ROW(),2)=1</formula>
    </cfRule>
  </conditionalFormatting>
  <conditionalFormatting sqref="Y22">
    <cfRule type="expression" dxfId="355" priority="42">
      <formula>MOD(ROW(),2)=1</formula>
    </cfRule>
  </conditionalFormatting>
  <conditionalFormatting sqref="W6">
    <cfRule type="expression" dxfId="354" priority="36">
      <formula>MOD(ROW(),2)=1</formula>
    </cfRule>
  </conditionalFormatting>
  <conditionalFormatting sqref="W10">
    <cfRule type="expression" dxfId="353" priority="35">
      <formula>MOD(ROW(),2)=1</formula>
    </cfRule>
  </conditionalFormatting>
  <conditionalFormatting sqref="W14">
    <cfRule type="expression" dxfId="352" priority="34">
      <formula>MOD(ROW(),2)=1</formula>
    </cfRule>
  </conditionalFormatting>
  <conditionalFormatting sqref="W18">
    <cfRule type="expression" dxfId="351" priority="33">
      <formula>MOD(ROW(),2)=1</formula>
    </cfRule>
  </conditionalFormatting>
  <conditionalFormatting sqref="W22">
    <cfRule type="expression" dxfId="350" priority="32">
      <formula>MOD(ROW(),2)=1</formula>
    </cfRule>
  </conditionalFormatting>
  <conditionalFormatting sqref="W26">
    <cfRule type="expression" dxfId="349" priority="31">
      <formula>MOD(ROW(),2)=1</formula>
    </cfRule>
  </conditionalFormatting>
  <conditionalFormatting sqref="U4">
    <cfRule type="expression" dxfId="348" priority="18">
      <formula>MOD(ROW(),2)=1</formula>
    </cfRule>
  </conditionalFormatting>
  <conditionalFormatting sqref="U6">
    <cfRule type="expression" dxfId="347" priority="17">
      <formula>MOD(ROW(),2)=1</formula>
    </cfRule>
  </conditionalFormatting>
  <conditionalFormatting sqref="U8">
    <cfRule type="expression" dxfId="346" priority="16">
      <formula>MOD(ROW(),2)=1</formula>
    </cfRule>
  </conditionalFormatting>
  <conditionalFormatting sqref="U10">
    <cfRule type="expression" dxfId="345" priority="15">
      <formula>MOD(ROW(),2)=1</formula>
    </cfRule>
  </conditionalFormatting>
  <conditionalFormatting sqref="U12">
    <cfRule type="expression" dxfId="344" priority="14">
      <formula>MOD(ROW(),2)=1</formula>
    </cfRule>
  </conditionalFormatting>
  <conditionalFormatting sqref="U14">
    <cfRule type="expression" dxfId="343" priority="13">
      <formula>MOD(ROW(),2)=1</formula>
    </cfRule>
  </conditionalFormatting>
  <conditionalFormatting sqref="U16">
    <cfRule type="expression" dxfId="342" priority="12">
      <formula>MOD(ROW(),2)=1</formula>
    </cfRule>
  </conditionalFormatting>
  <conditionalFormatting sqref="U18">
    <cfRule type="expression" dxfId="341" priority="11">
      <formula>MOD(ROW(),2)=1</formula>
    </cfRule>
  </conditionalFormatting>
  <conditionalFormatting sqref="U22">
    <cfRule type="expression" dxfId="340" priority="9">
      <formula>MOD(ROW(),2)=1</formula>
    </cfRule>
  </conditionalFormatting>
  <conditionalFormatting sqref="U26">
    <cfRule type="expression" dxfId="339" priority="7">
      <formula>MOD(ROW(),2)=1</formula>
    </cfRule>
  </conditionalFormatting>
  <conditionalFormatting sqref="U28">
    <cfRule type="expression" dxfId="338" priority="6">
      <formula>MOD(ROW(),2)=1</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103"/>
  <sheetViews>
    <sheetView workbookViewId="0"/>
  </sheetViews>
  <sheetFormatPr defaultRowHeight="15" x14ac:dyDescent="0.25"/>
  <sheetData>
    <row r="3" spans="1:4" x14ac:dyDescent="0.25">
      <c r="A3" t="str">
        <f>'e-LTM'!B3</f>
        <v>Graf, P., &amp; Mandler, G. (1984). Activation Makes Words More Accessible, but Not Necessarily More Retrievable. Journal of Verbal Learning and Verbal Behavior, 23(5), 553-568.</v>
      </c>
      <c r="B3">
        <f>'e-LTM'!AA3</f>
        <v>5400</v>
      </c>
      <c r="C3">
        <f>B3/(60*60)</f>
        <v>1.5</v>
      </c>
      <c r="D3" s="35">
        <f>'e-LTM'!AM3</f>
        <v>-2.6423856011413897E-2</v>
      </c>
    </row>
    <row r="5" spans="1:4" x14ac:dyDescent="0.25">
      <c r="A5" t="str">
        <f>'e-LTM'!B5</f>
        <v>Wickelgren, W. (1972). Trace resistance and the decay of long-term memory. Journal of Mathematical Psychology, 9(4), 418-455.</v>
      </c>
      <c r="B5">
        <f>'e-LTM'!AA5</f>
        <v>702</v>
      </c>
      <c r="C5">
        <f>B5/(60*60)</f>
        <v>0.19500000000000001</v>
      </c>
      <c r="D5" s="35">
        <f>'e-LTM'!AM5</f>
        <v>-0.231605695561754</v>
      </c>
    </row>
    <row r="7" spans="1:4" x14ac:dyDescent="0.25">
      <c r="A7" t="str">
        <f>'e-LTM'!B7</f>
        <v>Wickelgren, W. (1972). Trace resistance and the decay of long-term memory. Journal of Mathematical Psychology, 9(4), 418-455.</v>
      </c>
      <c r="B7">
        <f>'e-LTM'!AA7</f>
        <v>702</v>
      </c>
      <c r="C7">
        <f>B7/(60*60)</f>
        <v>0.19500000000000001</v>
      </c>
      <c r="D7" s="35">
        <f>'e-LTM'!AM7</f>
        <v>-0.38727369123979294</v>
      </c>
    </row>
    <row r="9" spans="1:4" x14ac:dyDescent="0.25">
      <c r="A9" t="str">
        <f>'e-LTM'!B9</f>
        <v>Wickelgren, W. (1972). Trace resistance and the decay of long-term memory. Journal of Mathematical Psychology, 9(4), 418-455.</v>
      </c>
      <c r="B9">
        <f>'e-LTM'!AA9</f>
        <v>1398</v>
      </c>
      <c r="C9">
        <f>B9/(60*60)</f>
        <v>0.38833333333333331</v>
      </c>
      <c r="D9" s="35">
        <f>'e-LTM'!AM9</f>
        <v>-0.14009386451260886</v>
      </c>
    </row>
    <row r="11" spans="1:4" x14ac:dyDescent="0.25">
      <c r="A11" t="str">
        <f>'e-LTM'!B11</f>
        <v>Wickelgren, W. (1972). Trace resistance and the decay of long-term memory. Journal of Mathematical Psychology, 9(4), 418-455.</v>
      </c>
      <c r="B11">
        <f>'e-LTM'!AA11</f>
        <v>1398</v>
      </c>
      <c r="C11">
        <f>B11/(60*60)</f>
        <v>0.38833333333333331</v>
      </c>
      <c r="D11" s="35">
        <f>'e-LTM'!AM11</f>
        <v>-5.5660573317711515E-2</v>
      </c>
    </row>
    <row r="13" spans="1:4" x14ac:dyDescent="0.25">
      <c r="A13" t="str">
        <f>'e-LTM'!B13</f>
        <v>Wickelgren, W. (1972). Trace resistance and the decay of long-term memory. Journal of Mathematical Psychology, 9(4), 418-455.</v>
      </c>
      <c r="B13">
        <f>'e-LTM'!AA13</f>
        <v>1398</v>
      </c>
      <c r="C13">
        <f>B13/(60*60)</f>
        <v>0.38833333333333331</v>
      </c>
      <c r="D13" s="35">
        <f>'e-LTM'!AM13</f>
        <v>-0.13662508109794766</v>
      </c>
    </row>
    <row r="15" spans="1:4" x14ac:dyDescent="0.25">
      <c r="A15" t="str">
        <f>'e-LTM'!B15</f>
        <v>Wickelgren, W. (1972). Trace resistance and the decay of long-term memory. Journal of Mathematical Psychology, 9(4), 418-455.</v>
      </c>
      <c r="B15">
        <f>'e-LTM'!AA15</f>
        <v>1398</v>
      </c>
      <c r="C15">
        <f>B15/(60*60)</f>
        <v>0.38833333333333331</v>
      </c>
      <c r="D15" s="35">
        <f>'e-LTM'!AM15</f>
        <v>-0.17541803033396614</v>
      </c>
    </row>
    <row r="17" spans="1:8" x14ac:dyDescent="0.25">
      <c r="A17" t="str">
        <f>'e-LTM'!B17</f>
        <v>Wickelgren, W. (1972). Trace resistance and the decay of long-term memory. Journal of Mathematical Psychology, 9(4), 418-455.</v>
      </c>
      <c r="B17">
        <f>'e-LTM'!AA17</f>
        <v>3600</v>
      </c>
      <c r="C17">
        <f>B17/(60*60)</f>
        <v>1</v>
      </c>
      <c r="D17" s="35">
        <f>'e-LTM'!AM17</f>
        <v>-0.20725283363153152</v>
      </c>
    </row>
    <row r="18" spans="1:8" x14ac:dyDescent="0.25">
      <c r="G18" s="67">
        <f>AVERAGE(D2:D7)</f>
        <v>-0.21510108093765359</v>
      </c>
      <c r="H18" s="66">
        <f xml:space="preserve"> STDEV(D2:D7)/SQRT(COUNT(D2:D7))</f>
        <v>0.1044947408947848</v>
      </c>
    </row>
    <row r="19" spans="1:8" x14ac:dyDescent="0.25">
      <c r="A19" t="str">
        <f>'e-LTM'!B19</f>
        <v>Wickelgren, W. (1972). Trace resistance and the decay of long-term memory. Journal of Mathematical Psychology, 9(4), 418-455.</v>
      </c>
      <c r="B19">
        <f>'e-LTM'!AA19</f>
        <v>3600</v>
      </c>
      <c r="C19">
        <f>B19/(60*60)</f>
        <v>1</v>
      </c>
      <c r="D19" s="35">
        <f>'e-LTM'!AM19</f>
        <v>-0.20172665350125502</v>
      </c>
    </row>
    <row r="21" spans="1:8" x14ac:dyDescent="0.25">
      <c r="A21" t="str">
        <f>'e-LTM'!B21</f>
        <v>Wickelgren, W. (1972). Trace resistance and the decay of long-term memory. Journal of Mathematical Psychology, 9(4), 418-455.</v>
      </c>
      <c r="B21">
        <f>'e-LTM'!AA21</f>
        <v>3840</v>
      </c>
      <c r="C21">
        <f>B21/(60*60)</f>
        <v>1.0666666666666667</v>
      </c>
      <c r="D21" s="35">
        <f>'e-LTM'!AM21</f>
        <v>-0.16185490444053308</v>
      </c>
    </row>
    <row r="23" spans="1:8" x14ac:dyDescent="0.25">
      <c r="A23" t="str">
        <f>'e-LTM'!B23</f>
        <v>Wickelgren, W. (1972). Trace resistance and the decay of long-term memory. Journal of Mathematical Psychology, 9(4), 418-455.</v>
      </c>
      <c r="B23">
        <f>'e-LTM'!AA23</f>
        <v>4800</v>
      </c>
      <c r="C23">
        <f>B23/(60*60)</f>
        <v>1.3333333333333333</v>
      </c>
      <c r="D23" s="35">
        <f>'e-LTM'!AM23</f>
        <v>-0.18318574855923095</v>
      </c>
    </row>
    <row r="25" spans="1:8" x14ac:dyDescent="0.25">
      <c r="A25" t="str">
        <f>'e-LTM'!B25</f>
        <v>Wickelgren, W. (1972). Trace resistance and the decay of long-term memory. Journal of Mathematical Psychology, 9(4), 418-455.</v>
      </c>
      <c r="B25">
        <f>'e-LTM'!AA25</f>
        <v>25200</v>
      </c>
      <c r="C25">
        <f>B25/(60*60)</f>
        <v>7</v>
      </c>
      <c r="D25" s="35">
        <f>'e-LTM'!AM25</f>
        <v>-0.13785230161429973</v>
      </c>
    </row>
    <row r="27" spans="1:8" x14ac:dyDescent="0.25">
      <c r="A27" t="str">
        <f>'e-LTM'!B27</f>
        <v>Wickelgren, W. (1972). Trace resistance and the decay of long-term memory. Journal of Mathematical Psychology, 9(4), 418-455.</v>
      </c>
      <c r="B27">
        <f>'e-LTM'!AA27</f>
        <v>25200</v>
      </c>
      <c r="C27">
        <f>B27/(60*60)</f>
        <v>7</v>
      </c>
      <c r="D27" s="35">
        <f>'e-LTM'!AM27</f>
        <v>-0.17390240364693083</v>
      </c>
    </row>
    <row r="29" spans="1:8" x14ac:dyDescent="0.25">
      <c r="A29" t="str">
        <f>'e-LTM'!B29</f>
        <v>Wickelgren, W. (1972). Trace resistance and the decay of long-term memory. Journal of Mathematical Psychology, 9(4), 418-455.</v>
      </c>
      <c r="B29">
        <f>'e-LTM'!AA29</f>
        <v>25200</v>
      </c>
      <c r="C29">
        <f>B29/(60*60)</f>
        <v>7</v>
      </c>
      <c r="D29" s="35">
        <f>'e-LTM'!AM29</f>
        <v>-0.19278369016112795</v>
      </c>
    </row>
    <row r="31" spans="1:8" x14ac:dyDescent="0.25">
      <c r="A31" t="str">
        <f>'e-LTM'!B31</f>
        <v>Wickelgren, W. (1974). Single-trace fragility theory of memory dynamics. Memory &amp; Cognition, 2(4), 775-780.</v>
      </c>
      <c r="B31">
        <f>'e-LTM'!AA31</f>
        <v>700</v>
      </c>
      <c r="C31">
        <f>B31/(60*60)</f>
        <v>0.19444444444444445</v>
      </c>
      <c r="D31" s="35">
        <f>'e-LTM'!AM31</f>
        <v>-0.15182155030122266</v>
      </c>
    </row>
    <row r="33" spans="4:4" x14ac:dyDescent="0.25">
      <c r="D33" s="35"/>
    </row>
    <row r="35" spans="4:4" x14ac:dyDescent="0.25">
      <c r="D35" s="35"/>
    </row>
    <row r="37" spans="4:4" x14ac:dyDescent="0.25">
      <c r="D37" s="35"/>
    </row>
    <row r="39" spans="4:4" x14ac:dyDescent="0.25">
      <c r="D39" s="35"/>
    </row>
    <row r="41" spans="4:4" x14ac:dyDescent="0.25">
      <c r="D41" s="35"/>
    </row>
    <row r="43" spans="4:4" x14ac:dyDescent="0.25">
      <c r="D43" s="35"/>
    </row>
    <row r="45" spans="4:4" x14ac:dyDescent="0.25">
      <c r="D45" s="35"/>
    </row>
    <row r="47" spans="4:4" x14ac:dyDescent="0.25">
      <c r="D47" s="35"/>
    </row>
    <row r="49" spans="4:4" x14ac:dyDescent="0.25">
      <c r="D49" s="35"/>
    </row>
    <row r="51" spans="4:4" x14ac:dyDescent="0.25">
      <c r="D51" s="35"/>
    </row>
    <row r="53" spans="4:4" x14ac:dyDescent="0.25">
      <c r="D53" s="35"/>
    </row>
    <row r="55" spans="4:4" x14ac:dyDescent="0.25">
      <c r="D55" s="35"/>
    </row>
    <row r="57" spans="4:4" x14ac:dyDescent="0.25">
      <c r="D57" s="35"/>
    </row>
    <row r="59" spans="4:4" x14ac:dyDescent="0.25">
      <c r="D59" s="35"/>
    </row>
    <row r="61" spans="4:4" x14ac:dyDescent="0.25">
      <c r="D61" s="35"/>
    </row>
    <row r="63" spans="4:4" x14ac:dyDescent="0.25">
      <c r="D63" s="35"/>
    </row>
    <row r="65" spans="4:4" x14ac:dyDescent="0.25">
      <c r="D65" s="35"/>
    </row>
    <row r="67" spans="4:4" x14ac:dyDescent="0.25">
      <c r="D67" s="35"/>
    </row>
    <row r="69" spans="4:4" x14ac:dyDescent="0.25">
      <c r="D69" s="35"/>
    </row>
    <row r="71" spans="4:4" x14ac:dyDescent="0.25">
      <c r="D71" s="35"/>
    </row>
    <row r="73" spans="4:4" x14ac:dyDescent="0.25">
      <c r="D73" s="35"/>
    </row>
    <row r="75" spans="4:4" x14ac:dyDescent="0.25">
      <c r="D75" s="35"/>
    </row>
    <row r="77" spans="4:4" x14ac:dyDescent="0.25">
      <c r="D77" s="35"/>
    </row>
    <row r="79" spans="4:4" x14ac:dyDescent="0.25">
      <c r="D79" s="35"/>
    </row>
    <row r="81" spans="4:4" x14ac:dyDescent="0.25">
      <c r="D81" s="35"/>
    </row>
    <row r="83" spans="4:4" x14ac:dyDescent="0.25">
      <c r="D83" s="35"/>
    </row>
    <row r="85" spans="4:4" x14ac:dyDescent="0.25">
      <c r="D85" s="35"/>
    </row>
    <row r="87" spans="4:4" x14ac:dyDescent="0.25">
      <c r="D87" s="35"/>
    </row>
    <row r="89" spans="4:4" x14ac:dyDescent="0.25">
      <c r="D89" s="35"/>
    </row>
    <row r="91" spans="4:4" x14ac:dyDescent="0.25">
      <c r="D91" s="35"/>
    </row>
    <row r="93" spans="4:4" x14ac:dyDescent="0.25">
      <c r="D93" s="35"/>
    </row>
    <row r="95" spans="4:4" x14ac:dyDescent="0.25">
      <c r="D95" s="35"/>
    </row>
    <row r="97" spans="4:4" x14ac:dyDescent="0.25">
      <c r="D97" s="35"/>
    </row>
    <row r="99" spans="4:4" x14ac:dyDescent="0.25">
      <c r="D99" s="35"/>
    </row>
    <row r="101" spans="4:4" x14ac:dyDescent="0.25">
      <c r="D101" s="35"/>
    </row>
    <row r="103" spans="4:4" x14ac:dyDescent="0.25">
      <c r="D103" s="35"/>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46"/>
  <sheetViews>
    <sheetView workbookViewId="0"/>
  </sheetViews>
  <sheetFormatPr defaultColWidth="5.28515625" defaultRowHeight="12.75" outlineLevelCol="1" x14ac:dyDescent="0.2"/>
  <cols>
    <col min="1" max="1" width="11.28515625" style="33" bestFit="1" customWidth="1"/>
    <col min="2" max="2" width="9.7109375" style="10" customWidth="1"/>
    <col min="3" max="3" width="17.85546875" style="10" customWidth="1"/>
    <col min="4" max="4" width="6.85546875" style="36" customWidth="1"/>
    <col min="5" max="5" width="4.28515625" style="42" customWidth="1"/>
    <col min="6" max="6" width="10.28515625" style="36" bestFit="1" customWidth="1"/>
    <col min="7" max="7" width="9.28515625" style="36" customWidth="1"/>
    <col min="8" max="8" width="14.85546875" style="36" bestFit="1" customWidth="1"/>
    <col min="9" max="9" width="30.5703125" style="36" customWidth="1"/>
    <col min="10" max="10" width="17.5703125" style="36" customWidth="1"/>
    <col min="11" max="11" width="9.5703125" style="36" customWidth="1"/>
    <col min="12" max="13" width="9.7109375" style="36" customWidth="1"/>
    <col min="14" max="14" width="13.85546875" style="36" customWidth="1"/>
    <col min="15" max="15" width="8.7109375" style="36" customWidth="1"/>
    <col min="16" max="16" width="22.7109375" style="36" customWidth="1"/>
    <col min="17" max="17" width="18.28515625" style="36" bestFit="1" customWidth="1"/>
    <col min="18" max="18" width="8.7109375" style="36" customWidth="1"/>
    <col min="19" max="19" width="11.42578125" style="36" customWidth="1"/>
    <col min="20" max="20" width="12.7109375" style="36" customWidth="1"/>
    <col min="21" max="22" width="10.42578125" style="36" customWidth="1"/>
    <col min="23" max="23" width="11.85546875" style="36" customWidth="1"/>
    <col min="24" max="24" width="8.140625" style="36" customWidth="1"/>
    <col min="25" max="25" width="10" style="42" customWidth="1"/>
    <col min="26" max="26" width="15.42578125" style="36" customWidth="1"/>
    <col min="27" max="27" width="11" style="36" customWidth="1"/>
    <col min="28" max="28" width="16.42578125" style="36" customWidth="1"/>
    <col min="29" max="29" width="13.5703125" style="36" customWidth="1"/>
    <col min="30" max="30" width="13.140625" style="36" customWidth="1"/>
    <col min="31" max="31" width="11" style="36" customWidth="1"/>
    <col min="32" max="32" width="12.5703125" style="46" customWidth="1"/>
    <col min="33" max="33" width="10.140625" style="29" customWidth="1"/>
    <col min="34" max="34" width="10.7109375" style="8" customWidth="1"/>
    <col min="35" max="35" width="10.7109375" style="29" customWidth="1"/>
    <col min="36" max="36" width="10.7109375" style="54" customWidth="1"/>
    <col min="37" max="40" width="10.7109375" style="29" customWidth="1"/>
    <col min="41" max="43" width="10.7109375" style="29" customWidth="1" outlineLevel="1"/>
    <col min="44" max="44" width="16.85546875" style="54" customWidth="1" outlineLevel="1"/>
    <col min="45" max="46" width="16.85546875" style="29" customWidth="1" outlineLevel="1"/>
    <col min="47" max="47" width="5.28515625" style="8" outlineLevel="1"/>
    <col min="48" max="50" width="13.42578125" style="23" bestFit="1" customWidth="1" outlineLevel="1"/>
    <col min="51" max="51" width="14.85546875" style="23" bestFit="1" customWidth="1" outlineLevel="1"/>
    <col min="52" max="53" width="14.5703125" style="23" bestFit="1" customWidth="1"/>
    <col min="54" max="54" width="13.5703125" style="23" bestFit="1" customWidth="1"/>
    <col min="55" max="57" width="13.5703125" style="16" bestFit="1" customWidth="1"/>
    <col min="58" max="62" width="12.42578125" style="16" bestFit="1" customWidth="1"/>
    <col min="63" max="74" width="10.42578125" style="16" bestFit="1" customWidth="1"/>
    <col min="75" max="95" width="11.42578125" style="16" bestFit="1" customWidth="1"/>
    <col min="96" max="99" width="12.42578125" style="10" bestFit="1" customWidth="1"/>
    <col min="100" max="133" width="10.42578125" style="10" bestFit="1" customWidth="1"/>
    <col min="134" max="16384" width="5.28515625" style="10"/>
  </cols>
  <sheetData>
    <row r="1" spans="1:99" ht="12" customHeight="1" x14ac:dyDescent="0.2">
      <c r="A1" s="33" t="s">
        <v>81</v>
      </c>
      <c r="B1" s="11" t="s">
        <v>0</v>
      </c>
      <c r="C1" s="11" t="s">
        <v>1</v>
      </c>
      <c r="D1" s="31" t="s">
        <v>2</v>
      </c>
      <c r="E1" s="40" t="s">
        <v>131</v>
      </c>
      <c r="F1" s="31" t="s">
        <v>6</v>
      </c>
      <c r="G1" s="31" t="s">
        <v>110</v>
      </c>
      <c r="H1" s="31" t="s">
        <v>1</v>
      </c>
      <c r="I1" s="31" t="s">
        <v>8</v>
      </c>
      <c r="J1" s="31" t="s">
        <v>7</v>
      </c>
      <c r="K1" s="31" t="s">
        <v>127</v>
      </c>
      <c r="L1" s="31" t="s">
        <v>122</v>
      </c>
      <c r="M1" s="31" t="s">
        <v>125</v>
      </c>
      <c r="N1" s="31" t="s">
        <v>123</v>
      </c>
      <c r="O1" s="31" t="s">
        <v>5</v>
      </c>
      <c r="P1" s="31" t="s">
        <v>126</v>
      </c>
      <c r="Q1" s="31" t="s">
        <v>3</v>
      </c>
      <c r="R1" s="31" t="s">
        <v>124</v>
      </c>
      <c r="S1" s="31" t="s">
        <v>4</v>
      </c>
      <c r="T1" s="31" t="s">
        <v>68</v>
      </c>
      <c r="U1" s="31" t="s">
        <v>165</v>
      </c>
      <c r="V1" s="31" t="s">
        <v>120</v>
      </c>
      <c r="W1" s="31" t="s">
        <v>121</v>
      </c>
      <c r="X1" s="31" t="s">
        <v>128</v>
      </c>
      <c r="Y1" s="40" t="s">
        <v>117</v>
      </c>
      <c r="Z1" s="31" t="s">
        <v>129</v>
      </c>
      <c r="AA1" s="31" t="s">
        <v>87</v>
      </c>
      <c r="AB1" s="31" t="s">
        <v>85</v>
      </c>
      <c r="AC1" s="31" t="s">
        <v>86</v>
      </c>
      <c r="AD1" s="31" t="s">
        <v>130</v>
      </c>
      <c r="AE1" s="31" t="s">
        <v>118</v>
      </c>
      <c r="AF1" s="44" t="s">
        <v>119</v>
      </c>
      <c r="AG1" s="27" t="s">
        <v>114</v>
      </c>
      <c r="AH1" s="4"/>
      <c r="AI1" s="58" t="s">
        <v>76</v>
      </c>
      <c r="AJ1" s="52" t="s">
        <v>74</v>
      </c>
      <c r="AK1" s="27" t="s">
        <v>9</v>
      </c>
      <c r="AL1" s="58" t="s">
        <v>77</v>
      </c>
      <c r="AM1" s="27" t="s">
        <v>10</v>
      </c>
      <c r="AN1" s="27" t="s">
        <v>11</v>
      </c>
      <c r="AO1" s="58" t="s">
        <v>162</v>
      </c>
      <c r="AP1" s="27" t="s">
        <v>80</v>
      </c>
      <c r="AQ1" s="58" t="s">
        <v>163</v>
      </c>
      <c r="AR1" s="52" t="s">
        <v>78</v>
      </c>
      <c r="AS1" s="58" t="s">
        <v>164</v>
      </c>
      <c r="AT1" s="27" t="s">
        <v>79</v>
      </c>
      <c r="AU1" s="4"/>
      <c r="AV1" s="7" t="s">
        <v>75</v>
      </c>
      <c r="AW1" s="7"/>
      <c r="AX1" s="7"/>
      <c r="AY1" s="7"/>
      <c r="AZ1" s="7"/>
      <c r="BA1" s="7"/>
      <c r="BB1" s="7"/>
      <c r="BC1" s="6"/>
      <c r="BD1" s="6"/>
      <c r="BE1" s="6"/>
      <c r="BF1" s="6"/>
      <c r="BG1" s="6"/>
      <c r="BH1" s="6"/>
      <c r="BI1" s="6"/>
      <c r="BJ1" s="6"/>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11"/>
      <c r="CS1" s="11"/>
      <c r="CT1" s="11"/>
      <c r="CU1" s="11"/>
    </row>
    <row r="2" spans="1:99" s="9" customFormat="1" ht="12" customHeight="1" x14ac:dyDescent="0.2">
      <c r="A2" s="37">
        <v>43509</v>
      </c>
      <c r="B2" s="1"/>
      <c r="C2" s="1"/>
      <c r="D2" s="32"/>
      <c r="E2" s="41"/>
      <c r="F2" s="32"/>
      <c r="G2" s="32"/>
      <c r="H2" s="32"/>
      <c r="I2" s="32"/>
      <c r="J2" s="32"/>
      <c r="K2" s="36"/>
      <c r="L2" s="36"/>
      <c r="M2" s="32"/>
      <c r="N2" s="32"/>
      <c r="O2" s="32"/>
      <c r="P2" s="32"/>
      <c r="Q2" s="32"/>
      <c r="R2" s="32"/>
      <c r="S2" s="32"/>
      <c r="T2" s="32"/>
      <c r="U2" s="32"/>
      <c r="V2" s="32"/>
      <c r="W2" s="32"/>
      <c r="X2" s="32"/>
      <c r="Y2" s="41"/>
      <c r="Z2" s="32"/>
      <c r="AA2" s="32"/>
      <c r="AB2" s="32"/>
      <c r="AC2" s="32"/>
      <c r="AD2" s="32"/>
      <c r="AE2" s="32"/>
      <c r="AF2" s="45"/>
      <c r="AG2" s="28"/>
      <c r="AH2" s="4"/>
      <c r="AI2" s="28"/>
      <c r="AJ2" s="51"/>
      <c r="AK2" s="28"/>
      <c r="AL2" s="28"/>
      <c r="AM2" s="28"/>
      <c r="AN2" s="28"/>
      <c r="AO2" s="28"/>
      <c r="AP2" s="28"/>
      <c r="AQ2" s="28"/>
      <c r="AR2" s="51"/>
      <c r="AS2" s="28"/>
      <c r="AT2" s="28"/>
      <c r="AU2" s="5"/>
      <c r="AV2" s="18">
        <v>30</v>
      </c>
      <c r="AW2" s="18">
        <f>60*20</f>
        <v>1200</v>
      </c>
      <c r="AX2" s="18">
        <f>60*90</f>
        <v>5400</v>
      </c>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1"/>
      <c r="CS2" s="1"/>
      <c r="CT2" s="1"/>
      <c r="CU2" s="1"/>
    </row>
    <row r="3" spans="1:99" s="9" customFormat="1" ht="12" customHeight="1" x14ac:dyDescent="0.2">
      <c r="A3" s="37">
        <v>43509</v>
      </c>
      <c r="B3" s="1" t="s">
        <v>69</v>
      </c>
      <c r="C3" s="1" t="s">
        <v>29</v>
      </c>
      <c r="D3" s="32">
        <v>1984</v>
      </c>
      <c r="E3" s="41">
        <v>2</v>
      </c>
      <c r="F3" s="32">
        <v>48</v>
      </c>
      <c r="G3" s="32">
        <v>48</v>
      </c>
      <c r="H3" s="32" t="s">
        <v>22</v>
      </c>
      <c r="I3" s="32"/>
      <c r="J3" s="32" t="s">
        <v>12</v>
      </c>
      <c r="K3" s="32">
        <f>IF(J3="syllables",1,IF(J3="trigrams",2,IF(J3="strings",3,IF(J3="visual array",4,IF(J3="characters",5,IF(J3="letters",6,IF(J3="free forms",7,IF(J3="odors",8,IF(J3="words",9,IF(J3="pictures",10,IF(J3="object pictures",11,IF(J3="faces",12,IF(J3="names",13,IF(J3="idioms",14,IF(J3="grades",15,IF(J3="syllable-digit pairs",16,IF(J3="trigram-word pairs",17,IF(J3="word-digit pairs",18,IF(J3="English-Swahili pairs",19,IF(J3="spatial position",20,IF(J3="word pairs",21,IF(J3="word triads",22,IF(J3="generated words",23,IF(J3="word definition pairs",24,IF(J3="math problems",25,IF(J3="famous faces",26,IF(J3="famous names",27,IF(J3="famous voices",28,IF(J3="television programs",29,IF(J3="race horses",30,IF(J3="new vocabulary",31,IF(J3="sentences",32,IF(J3="concepts",33,IF(J3="ad slides",34,IF(J3="scenes",35,IF(J3="famous scenes",36,IF(J3="poems",37,IF(J3="walk",38,IF(J3="faces and events",39,IF(J3="events and names",40,IF(J3="flashbulb",41,IF(J3="stories",42,IF(J3="course material",43,IF(J3="autobiographical",44,IF(J3="novels",45,IF(J3="public events",46,"99"))))))))))))))))))))))))))))))))))))))))))))))</f>
        <v>9</v>
      </c>
      <c r="L3" s="32">
        <f>IF(J3="syllables",1,IF(J3="trigrams",1,IF(J3="strings",1,IF(J3="visual array",1,IF(J3="characters",1,IF(J3="letters",1,IF(J3="free forms",1,IF(J3="odors",2,IF(J3="words",2,IF(J3="pictures",2,IF(J3="object pictures",2,IF(J3="faces",2,IF(J3="names",2,IF(J3="idioms","2",IF(J3="grades",2,IF(J3="syllable-digit pairs",3,IF(J3="trigram-word pairs",3,IF(J3="word-digit pairs",3,IF(J3="English-Swahili pairs",3,IF(J3="spatial position",3,IF(J3="word pairs",4,IF(J3="word triads",4,IF(J3="generated words",4,IF(J3="word definition pairs",4,IF(J3="math problems",4,IF(J3="famous faces",4,IF(J3="famous names",4,IF(J3="famous voices",4,IF(J3="television programs",4,IF(J3="race horses",4,IF(J3="new vocabulary",4,IF(J3="sentences",5,IF(J3="concepts",5,IF(J3="ad slides",5,IF(J3="scenes",5,IF(J3="famous scenes",5,IF(J3="poems",6,IF(J3="walk",6,IF(J3="faces and events",6,IF(J3="events and names",6,IF(J3="flashbulb",7,IF(J3="stories",7,IF(J3="course material",7,IF(J3="autobiographical",7,IF(J3="novels",7,IF(J3="public events",7,"99"))))))))))))))))))))))))))))))))))))))))))))))</f>
        <v>2</v>
      </c>
      <c r="M3" s="32">
        <v>1</v>
      </c>
      <c r="N3" s="32">
        <v>1</v>
      </c>
      <c r="O3" s="32">
        <v>0</v>
      </c>
      <c r="P3" s="32"/>
      <c r="Q3" s="32" t="s">
        <v>18</v>
      </c>
      <c r="R3" s="32">
        <f>IF(Q3="Free Recall",1,IF(Q3="Cued Recall",2,IF(Q3="Recognition",3,IF(Q3="Multiple Choice",4,IF(Q3="Savings",5,IF(Q3="Stem Completion",6,IF(Q3="Fragment Completion",7,IF(Q3="anagram solution",8,IF(Q3="Matching",9,IF(Q3="Problem Solving",10,"99"))))))))))</f>
        <v>3</v>
      </c>
      <c r="S3" s="31" t="s">
        <v>196</v>
      </c>
      <c r="T3" s="31" t="s">
        <v>132</v>
      </c>
      <c r="U3" s="32">
        <f>IF(T3="within",1,0)</f>
        <v>1</v>
      </c>
      <c r="V3" s="31">
        <v>20</v>
      </c>
      <c r="W3" s="32">
        <f>F3*V3</f>
        <v>960</v>
      </c>
      <c r="X3" s="32">
        <v>3</v>
      </c>
      <c r="Y3" s="41">
        <f>AV2</f>
        <v>30</v>
      </c>
      <c r="Z3" s="32" t="s">
        <v>30</v>
      </c>
      <c r="AA3" s="32">
        <v>5400</v>
      </c>
      <c r="AB3" s="32" t="str">
        <f>IF(AA3&lt;60,"1",IF(AA3&lt;=43200,"2",IF(AA3&lt;=777600,"3","4")))</f>
        <v>2</v>
      </c>
      <c r="AC3" s="28">
        <f>AVERAGE(AV2:DA2)</f>
        <v>2210</v>
      </c>
      <c r="AD3" s="32" t="str">
        <f>IF(AC3&lt;60,"1",IF(AC3&lt;=43200,"2",IF(AC3&lt;=777600,"3","4")))</f>
        <v>2</v>
      </c>
      <c r="AE3" s="41">
        <f>AA3-Y3</f>
        <v>5370</v>
      </c>
      <c r="AF3" s="45">
        <f>AV3</f>
        <v>1.4298103922061869</v>
      </c>
      <c r="AG3" s="28">
        <f>((AW3-AV3)+(AX3-AW3))/2</f>
        <v>-9.6774797070740437E-2</v>
      </c>
      <c r="AH3" s="4"/>
      <c r="AI3" s="28">
        <f>RSQ(AV3:AX3,AV2:AX2)</f>
        <v>0.89373372197962242</v>
      </c>
      <c r="AJ3" s="51">
        <f>SLOPE(AV3:AX3,AV2:AX2)</f>
        <v>-3.2402891110009627E-5</v>
      </c>
      <c r="AK3" s="28">
        <f>INTERCEPT(AV3:AX3,AV2:AX2)</f>
        <v>1.4036889181147139</v>
      </c>
      <c r="AL3" s="28">
        <f>INDEX(LINEST(LN(AV3:AX3),LN(AV2:AX2),TRUE,TRUE),3,1)</f>
        <v>0.94250149680783346</v>
      </c>
      <c r="AM3" s="28">
        <f>INDEX(LINEST(LN(AV3:AX3),LN(AV2:AX2)),1)</f>
        <v>-2.6423856011413897E-2</v>
      </c>
      <c r="AN3" s="28">
        <f>EXP(INDEX(LINEST(LN(AV3:AX3),LN(AV2:AX2)),1,2))</f>
        <v>1.573153355436701</v>
      </c>
      <c r="AO3" s="47">
        <f>INDEX(LINEST((AV3:AX3),LN(AV2:AX2),TRUE,TRUE),3,1)</f>
        <v>0.95187947550858654</v>
      </c>
      <c r="AP3" s="47">
        <f>INDEX(LINEST((AV3:AX3),LN(AV2:AX2)),1)</f>
        <v>-3.5341392562013366E-2</v>
      </c>
      <c r="AQ3" s="48">
        <f>INDEX(LINEST(LN(AV3:AX3),SQRT(AV2:AX2),TRUE,TRUE),3,1)</f>
        <v>0.99390726730509671</v>
      </c>
      <c r="AR3" s="56">
        <f>INDEX(LINEST(LN(AV3:AX3),SQRT((AV2:AX2))),1)</f>
        <v>-2.1250702968678365E-3</v>
      </c>
      <c r="AS3" s="49">
        <f>INDEX(LINEST(1/(AV3:AX3),1/(SQRT(AV2:AX2)),TRUE,TRUE),3,1)</f>
        <v>0.79754817111693621</v>
      </c>
      <c r="AT3" s="49">
        <f>INDEX(LINEST(1/(AV3:AX3),1/SQRT(AV2:AX2)),1)</f>
        <v>-0.52331438833955501</v>
      </c>
      <c r="AU3" s="3"/>
      <c r="AV3" s="25">
        <v>1.4298103922061869</v>
      </c>
      <c r="AW3" s="25">
        <v>1.3301643960138854</v>
      </c>
      <c r="AX3" s="25">
        <v>1.236260798064706</v>
      </c>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1"/>
      <c r="CS3" s="1"/>
      <c r="CT3" s="1"/>
      <c r="CU3" s="1"/>
    </row>
    <row r="4" spans="1:99" s="60" customFormat="1" ht="12" customHeight="1" x14ac:dyDescent="0.2">
      <c r="A4" s="94">
        <v>43509</v>
      </c>
      <c r="B4" s="101"/>
      <c r="C4" s="101"/>
      <c r="D4" s="77"/>
      <c r="E4" s="98"/>
      <c r="F4" s="77"/>
      <c r="G4" s="77"/>
      <c r="H4" s="77"/>
      <c r="I4" s="77"/>
      <c r="J4" s="77"/>
      <c r="K4" s="102"/>
      <c r="L4" s="102"/>
      <c r="M4" s="77"/>
      <c r="N4" s="77"/>
      <c r="O4" s="77"/>
      <c r="P4" s="77"/>
      <c r="Q4" s="77"/>
      <c r="R4" s="77"/>
      <c r="S4" s="77"/>
      <c r="T4" s="96"/>
      <c r="U4" s="32"/>
      <c r="V4" s="77"/>
      <c r="W4" s="77"/>
      <c r="X4" s="77"/>
      <c r="Y4" s="98"/>
      <c r="Z4" s="77"/>
      <c r="AA4" s="77"/>
      <c r="AB4" s="77"/>
      <c r="AC4" s="77"/>
      <c r="AD4" s="77"/>
      <c r="AE4" s="77"/>
      <c r="AF4" s="99"/>
      <c r="AG4" s="100"/>
      <c r="AH4" s="84"/>
      <c r="AI4" s="100"/>
      <c r="AJ4" s="105"/>
      <c r="AK4" s="100"/>
      <c r="AL4" s="100"/>
      <c r="AM4" s="100"/>
      <c r="AN4" s="100"/>
      <c r="AO4" s="100"/>
      <c r="AP4" s="100"/>
      <c r="AQ4" s="100"/>
      <c r="AR4" s="105"/>
      <c r="AS4" s="100"/>
      <c r="AT4" s="100"/>
      <c r="AU4" s="62"/>
      <c r="AV4" s="64">
        <f>60*0.9</f>
        <v>54</v>
      </c>
      <c r="AW4" s="64">
        <f>60*1.2</f>
        <v>72</v>
      </c>
      <c r="AX4" s="64">
        <f>60*1.75</f>
        <v>105</v>
      </c>
      <c r="AY4" s="64">
        <f>60*2.9</f>
        <v>174</v>
      </c>
      <c r="AZ4" s="64">
        <f>60*5.8</f>
        <v>348</v>
      </c>
      <c r="BA4" s="64">
        <f>60*11.7</f>
        <v>702</v>
      </c>
      <c r="BB4" s="65"/>
      <c r="BC4" s="65"/>
      <c r="BD4" s="65"/>
      <c r="BE4" s="65"/>
      <c r="BF4" s="65"/>
      <c r="BG4" s="65"/>
      <c r="BH4" s="65"/>
      <c r="BI4" s="65"/>
      <c r="BJ4" s="65"/>
      <c r="BK4" s="65"/>
      <c r="BL4" s="61"/>
      <c r="BM4" s="61"/>
      <c r="BN4" s="61"/>
      <c r="BO4" s="61"/>
      <c r="BP4" s="61"/>
      <c r="BQ4" s="61"/>
      <c r="BR4" s="61"/>
      <c r="BS4" s="61"/>
      <c r="BT4" s="61"/>
      <c r="BU4" s="61"/>
      <c r="BV4" s="61"/>
      <c r="BW4" s="61"/>
      <c r="BX4" s="61"/>
      <c r="BY4" s="61"/>
      <c r="BZ4" s="61"/>
      <c r="CA4" s="61"/>
      <c r="CB4" s="61"/>
      <c r="CC4" s="61"/>
      <c r="CD4" s="61"/>
      <c r="CE4" s="61"/>
      <c r="CF4" s="61"/>
      <c r="CG4" s="61"/>
      <c r="CH4" s="61"/>
      <c r="CI4" s="61"/>
      <c r="CJ4" s="61"/>
      <c r="CK4" s="61"/>
      <c r="CL4" s="61"/>
      <c r="CM4" s="61"/>
      <c r="CN4" s="61"/>
      <c r="CO4" s="61"/>
      <c r="CP4" s="61"/>
      <c r="CQ4" s="61"/>
      <c r="CR4" s="59"/>
      <c r="CS4" s="59"/>
      <c r="CT4" s="59"/>
      <c r="CU4" s="59"/>
    </row>
    <row r="5" spans="1:99" s="60" customFormat="1" ht="12" customHeight="1" x14ac:dyDescent="0.2">
      <c r="A5" s="94">
        <v>43509</v>
      </c>
      <c r="B5" s="101" t="s">
        <v>203</v>
      </c>
      <c r="C5" s="101" t="s">
        <v>204</v>
      </c>
      <c r="D5" s="77">
        <v>1972</v>
      </c>
      <c r="E5" s="98">
        <v>1</v>
      </c>
      <c r="F5" s="77">
        <v>17</v>
      </c>
      <c r="G5" s="77">
        <v>17</v>
      </c>
      <c r="H5" s="77" t="s">
        <v>28</v>
      </c>
      <c r="I5" s="77" t="s">
        <v>205</v>
      </c>
      <c r="J5" s="77" t="s">
        <v>12</v>
      </c>
      <c r="K5" s="77" t="str">
        <f>IF(J5="syllables","1",IF(J5="trigrams","2",IF(J5="strings","3",IF(J5="visual array","4",IF(J5="characters","5",IF(J5="letters","6",IF(J5="free forms","7",IF(J5="odors","8",IF(J5="words","9",IF(J5="pictures","10",IF(J5="object pictures","11",IF(J5="faces","12",IF(J5="names","13",IF(J5="idioms","14",IF(J5="grades","15",IF(J5="syllable-digit pairs","16",IF(J5="trigram-word pairs","17",IF(J5="word-digit pairs","18",IF(J5="English-Swahili pairs","19",IF(J5="spatial position","20",IF(J5="word pairs","21",IF(J5="word triads","22",IF(J5="generated words","23",IF(J5="word definition pairs","24",IF(J5="math problems","25",IF(J5="famous faces","26",IF(J5="famous names","27",IF(J5="famous voices","28",IF(J5="television programs","29",IF(J5="race horses","30",IF(J5="new vocabulary","31",IF(J5="sentences","32",IF(J5="concepts","33",IF(J5="ad slides","34",IF(J5="scenes","35",IF(J5="famous scenes","36",IF(J5="poems","37",IF(J5="walk","38",IF(J5="faces and events","39",IF(J5="events and names","40",IF(J5="flashbulb","41",IF(J5="stories","42",IF(J5="course material","43",IF(J5="autobiographical","44",IF(J5="novels","45",IF(J5="public events","46",IF(J5="order","90","99")))))))))))))))))))))))))))))))))))))))))))))))</f>
        <v>9</v>
      </c>
      <c r="L5" s="77" t="str">
        <f>IF(J5="syllables","1",IF(J5="trigrams","1",IF(J5="strings","1",IF(J5="visual array","1",IF(J5="characters","1",IF(J5="letters","1",IF(J5="free forms","1",IF(J5="odors","2",IF(J5="words","2",IF(J5="pictures","2",IF(J5="object pictures","2",IF(J5="faces","2",IF(J5="names","2",IF(J5="idioms","2",IF(J5="grades","2",IF(J5="syllable-digit pairs","3",IF(J5="trigram-word pairs","3",IF(J5="word-digit pairs","3",IF(J5="English-Swahili pairs","3",IF(J5="spatial position","3",IF(J5="word pairs","4",IF(J5="word triads","4",IF(J5="generated words","4",IF(J5="word definition pairs","4",IF(J5="math problems","4",IF(J5="famous faces","4",IF(J5="famous names","4",IF(J5="famous voices","4",IF(J5="television programs","4",IF(J5="race horses","4",IF(J5="new vocabulary","4",IF(J5="sentences","5",IF(J5="concepts","5",IF(J5="ad slides","5",IF(J5="scenes","5",IF(J5="famous scenes","5",IF(J5="poems","6",IF(J5="walk","6",IF(J5="faces and events","6",IF(J5="events and names","6",IF(J5="flashbulb","7",IF(J5="stories","7",IF(J5="course material","7",IF(J5="autobiographical","7",IF(J5="novels","7",IF(J5="public events","7",IF(J5="order","90","99")))))))))))))))))))))))))))))))))))))))))))))))</f>
        <v>2</v>
      </c>
      <c r="M5" s="77" t="s">
        <v>195</v>
      </c>
      <c r="N5" s="77">
        <v>1</v>
      </c>
      <c r="O5" s="77" t="s">
        <v>195</v>
      </c>
      <c r="P5" s="77"/>
      <c r="Q5" s="77" t="s">
        <v>18</v>
      </c>
      <c r="R5" s="77" t="str">
        <f>IF(Q5="Free Recall","1",IF(Q5="Cued Recall","2",IF(Q5="Recognition","3",IF(Q5="Multiple Choice","4",IF(Q5="Savings","5",IF(Q5="Stem Completion","6",IF(Q5="Fragment Completion","7",IF(Q5="anagram solution","8",IF(Q5="Matching","9",IF(Q5="Problem Solving","10","99"))))))))))</f>
        <v>3</v>
      </c>
      <c r="S5" s="77" t="s">
        <v>196</v>
      </c>
      <c r="T5" s="96" t="s">
        <v>132</v>
      </c>
      <c r="U5" s="32">
        <f>IF(T5="within",1,0)</f>
        <v>1</v>
      </c>
      <c r="V5" s="96">
        <v>400</v>
      </c>
      <c r="W5" s="77">
        <f>F5*V5</f>
        <v>6800</v>
      </c>
      <c r="X5" s="77">
        <v>6</v>
      </c>
      <c r="Y5" s="98">
        <f>AV4</f>
        <v>54</v>
      </c>
      <c r="Z5" s="77" t="s">
        <v>206</v>
      </c>
      <c r="AA5" s="77">
        <v>702</v>
      </c>
      <c r="AB5" s="77" t="str">
        <f>IF(AA5&lt;60,"1",IF(AA5&lt;=43200,"2",IF(AA5&lt;=777600,"3","4")))</f>
        <v>2</v>
      </c>
      <c r="AC5" s="100">
        <f>AVERAGE(AV4:DA4)</f>
        <v>242.5</v>
      </c>
      <c r="AD5" s="77" t="str">
        <f>IF(AC5&lt;60,"1",IF(AC5&lt;=43200,"2",IF(AC5&lt;=777600,"3","4")))</f>
        <v>2</v>
      </c>
      <c r="AE5" s="98">
        <f>AA5-Y5</f>
        <v>648</v>
      </c>
      <c r="AF5" s="99">
        <f>AV5</f>
        <v>3.34</v>
      </c>
      <c r="AG5" s="100">
        <f>((AW5-AV5)+(AX5-AW5)+(AY5-AX5)+(AZ5-AY5)+(BA5-AZ5))/5</f>
        <v>-0.26200000000000001</v>
      </c>
      <c r="AH5" s="84"/>
      <c r="AI5" s="100">
        <f>RSQ(AV5:BA5,AV4:BA4)</f>
        <v>0.79026948411098474</v>
      </c>
      <c r="AJ5" s="105">
        <f>SLOPE(AV5:BA5,AV4:BA4)</f>
        <v>-2.3807338193682836E-3</v>
      </c>
      <c r="AK5" s="100">
        <f>INTERCEPT(AV5:BA5,AV4:BA4)</f>
        <v>3.5139946178634749</v>
      </c>
      <c r="AL5" s="100">
        <f>INDEX(LINEST(LN(AV5:BA5),LN(AV4:BA4),TRUE,TRUE),3,1)</f>
        <v>0.91911234561509469</v>
      </c>
      <c r="AM5" s="100">
        <f>INDEX(LINEST(LN(AV5:BA5),LN(AV4:BA4)),1)</f>
        <v>-0.231605695561754</v>
      </c>
      <c r="AN5" s="100">
        <f>EXP(INDEX(LINEST(LN(AV5:BA5),LN(AV4:BA4)),1,2))</f>
        <v>9.3124945713252849</v>
      </c>
      <c r="AO5" s="104">
        <f>INDEX(LINEST((AV5:BA5),LN(AV4:BA4),TRUE,TRUE),3,1)</f>
        <v>0.88443178338309869</v>
      </c>
      <c r="AP5" s="104">
        <f>INDEX(LINEST((AV5:BA5),LN(AV4:BA4)),1)</f>
        <v>-0.64106064784881411</v>
      </c>
      <c r="AQ5" s="48">
        <f>INDEX(LINEST(LN(AV5:BA5),SQRT(AV4:BA4),TRUE,TRUE),3,1)</f>
        <v>0.91556258880790453</v>
      </c>
      <c r="AR5" s="56">
        <f>INDEX(LINEST(LN(AV5:BA5),SQRT((AV4:BA4))),1)</f>
        <v>-3.0959002677644627E-2</v>
      </c>
      <c r="AS5" s="49">
        <f>INDEX(LINEST(1/(AV5:BA5),1/(SQRT(AV4:BA4)),TRUE,TRUE),3,1)</f>
        <v>0.85207505114761961</v>
      </c>
      <c r="AT5" s="49">
        <f>INDEX(LINEST(1/(AV5:BA5),1/SQRT(AV4:BA4)),1)</f>
        <v>-2.1227007684645618</v>
      </c>
      <c r="AU5" s="63"/>
      <c r="AV5" s="65">
        <v>3.34</v>
      </c>
      <c r="AW5" s="65">
        <v>3.85</v>
      </c>
      <c r="AX5" s="65">
        <v>3.18</v>
      </c>
      <c r="AY5" s="65">
        <v>2.87</v>
      </c>
      <c r="AZ5" s="65">
        <v>2.35</v>
      </c>
      <c r="BA5" s="65">
        <v>2.0299999999999998</v>
      </c>
      <c r="BB5" s="65"/>
      <c r="BC5" s="65"/>
      <c r="BD5" s="65"/>
      <c r="BE5" s="65"/>
      <c r="BF5" s="65"/>
      <c r="BG5" s="65"/>
      <c r="BH5" s="65"/>
      <c r="BI5" s="65"/>
      <c r="BJ5" s="65"/>
      <c r="BK5" s="65"/>
      <c r="BL5" s="61"/>
      <c r="BM5" s="61"/>
      <c r="BN5" s="61"/>
      <c r="BO5" s="61"/>
      <c r="BP5" s="61"/>
      <c r="BQ5" s="61"/>
      <c r="BR5" s="61"/>
      <c r="BS5" s="61"/>
      <c r="BT5" s="61"/>
      <c r="BU5" s="61"/>
      <c r="BV5" s="61"/>
      <c r="BW5" s="61"/>
      <c r="BX5" s="61"/>
      <c r="BY5" s="61"/>
      <c r="BZ5" s="61"/>
      <c r="CA5" s="61"/>
      <c r="CB5" s="61"/>
      <c r="CC5" s="61"/>
      <c r="CD5" s="61"/>
      <c r="CE5" s="61"/>
      <c r="CF5" s="61"/>
      <c r="CG5" s="61"/>
      <c r="CH5" s="61"/>
      <c r="CI5" s="61"/>
      <c r="CJ5" s="61"/>
      <c r="CK5" s="61"/>
      <c r="CL5" s="61"/>
      <c r="CM5" s="61"/>
      <c r="CN5" s="61"/>
      <c r="CO5" s="61"/>
      <c r="CP5" s="61"/>
      <c r="CQ5" s="61"/>
      <c r="CR5" s="59"/>
      <c r="CS5" s="59"/>
      <c r="CT5" s="59"/>
      <c r="CU5" s="59"/>
    </row>
    <row r="6" spans="1:99" s="60" customFormat="1" ht="12" customHeight="1" x14ac:dyDescent="0.2">
      <c r="A6" s="94">
        <v>43509</v>
      </c>
      <c r="B6" s="101"/>
      <c r="C6" s="101"/>
      <c r="D6" s="77"/>
      <c r="E6" s="98"/>
      <c r="F6" s="77"/>
      <c r="G6" s="77"/>
      <c r="H6" s="77"/>
      <c r="I6" s="77"/>
      <c r="J6" s="77"/>
      <c r="K6" s="102"/>
      <c r="L6" s="102"/>
      <c r="M6" s="77"/>
      <c r="N6" s="77"/>
      <c r="O6" s="77"/>
      <c r="P6" s="77"/>
      <c r="Q6" s="77"/>
      <c r="R6" s="77"/>
      <c r="S6" s="77"/>
      <c r="T6" s="96"/>
      <c r="U6" s="32"/>
      <c r="V6" s="77"/>
      <c r="W6" s="77"/>
      <c r="X6" s="77"/>
      <c r="Y6" s="98"/>
      <c r="Z6" s="77"/>
      <c r="AA6" s="77"/>
      <c r="AB6" s="77"/>
      <c r="AC6" s="77"/>
      <c r="AD6" s="77"/>
      <c r="AE6" s="77"/>
      <c r="AF6" s="99"/>
      <c r="AG6" s="100"/>
      <c r="AH6" s="84"/>
      <c r="AI6" s="100"/>
      <c r="AJ6" s="105"/>
      <c r="AK6" s="100"/>
      <c r="AL6" s="100"/>
      <c r="AM6" s="100"/>
      <c r="AN6" s="100"/>
      <c r="AO6" s="100"/>
      <c r="AP6" s="100"/>
      <c r="AQ6" s="100"/>
      <c r="AR6" s="105"/>
      <c r="AS6" s="100"/>
      <c r="AT6" s="100"/>
      <c r="AU6" s="62"/>
      <c r="AV6" s="64">
        <f>60*0.9</f>
        <v>54</v>
      </c>
      <c r="AW6" s="64">
        <f>60*1.2</f>
        <v>72</v>
      </c>
      <c r="AX6" s="64">
        <f>60*1.75</f>
        <v>105</v>
      </c>
      <c r="AY6" s="64">
        <f>60*2.9</f>
        <v>174</v>
      </c>
      <c r="AZ6" s="64">
        <f>60*5.8</f>
        <v>348</v>
      </c>
      <c r="BA6" s="64">
        <f>60*11.7</f>
        <v>702</v>
      </c>
      <c r="BB6" s="65"/>
      <c r="BC6" s="65"/>
      <c r="BD6" s="65"/>
      <c r="BE6" s="65"/>
      <c r="BF6" s="65"/>
      <c r="BG6" s="65"/>
      <c r="BH6" s="65"/>
      <c r="BI6" s="65"/>
      <c r="BJ6" s="65"/>
      <c r="BK6" s="65"/>
      <c r="BL6" s="61"/>
      <c r="BM6" s="61"/>
      <c r="BN6" s="61"/>
      <c r="BO6" s="61"/>
      <c r="BP6" s="61"/>
      <c r="BQ6" s="61"/>
      <c r="BR6" s="61"/>
      <c r="BS6" s="61"/>
      <c r="BT6" s="61"/>
      <c r="BU6" s="61"/>
      <c r="BV6" s="61"/>
      <c r="BW6" s="61"/>
      <c r="BX6" s="61"/>
      <c r="BY6" s="61"/>
      <c r="BZ6" s="61"/>
      <c r="CA6" s="61"/>
      <c r="CB6" s="61"/>
      <c r="CC6" s="61"/>
      <c r="CD6" s="61"/>
      <c r="CE6" s="61"/>
      <c r="CF6" s="61"/>
      <c r="CG6" s="61"/>
      <c r="CH6" s="61"/>
      <c r="CI6" s="61"/>
      <c r="CJ6" s="61"/>
      <c r="CK6" s="61"/>
      <c r="CL6" s="61"/>
      <c r="CM6" s="61"/>
      <c r="CN6" s="61"/>
      <c r="CO6" s="61"/>
      <c r="CP6" s="61"/>
      <c r="CQ6" s="61"/>
      <c r="CR6" s="59"/>
      <c r="CS6" s="59"/>
      <c r="CT6" s="59"/>
      <c r="CU6" s="59"/>
    </row>
    <row r="7" spans="1:99" s="60" customFormat="1" ht="12" customHeight="1" x14ac:dyDescent="0.2">
      <c r="A7" s="94">
        <v>43509</v>
      </c>
      <c r="B7" s="101" t="s">
        <v>203</v>
      </c>
      <c r="C7" s="101" t="s">
        <v>204</v>
      </c>
      <c r="D7" s="77">
        <v>1972</v>
      </c>
      <c r="E7" s="98">
        <v>1</v>
      </c>
      <c r="F7" s="77">
        <v>17</v>
      </c>
      <c r="G7" s="77">
        <v>17</v>
      </c>
      <c r="H7" s="77" t="s">
        <v>28</v>
      </c>
      <c r="I7" s="77" t="s">
        <v>205</v>
      </c>
      <c r="J7" s="77" t="s">
        <v>157</v>
      </c>
      <c r="K7" s="77" t="str">
        <f>IF(J7="syllables","1",IF(J7="trigrams","2",IF(J7="strings","3",IF(J7="visual array","4",IF(J7="characters","5",IF(J7="letters","6",IF(J7="free forms","7",IF(J7="odors","8",IF(J7="words","9",IF(J7="pictures","10",IF(J7="object pictures","11",IF(J7="faces","12",IF(J7="names","13",IF(J7="idioms","14",IF(J7="grades","15",IF(J7="syllable-digit pairs","16",IF(J7="trigram-word pairs","17",IF(J7="word-digit pairs","18",IF(J7="English-Swahili pairs","19",IF(J7="spatial position","20",IF(J7="word pairs","21",IF(J7="word triads","22",IF(J7="generated words","23",IF(J7="word definition pairs","24",IF(J7="math problems","25",IF(J7="famous faces","26",IF(J7="famous names","27",IF(J7="famous voices","28",IF(J7="television programs","29",IF(J7="race horses","30",IF(J7="new vocabulary","31",IF(J7="sentences","32",IF(J7="concepts","33",IF(J7="ad slides","34",IF(J7="scenes","35",IF(J7="famous scenes","36",IF(J7="poems","37",IF(J7="walk","38",IF(J7="faces and events","39",IF(J7="events and names","40",IF(J7="flashbulb","41",IF(J7="stories","42",IF(J7="course material","43",IF(J7="autobiographical","44",IF(J7="novels","45",IF(J7="public events","46",IF(J7="order","90","99")))))))))))))))))))))))))))))))))))))))))))))))</f>
        <v>3</v>
      </c>
      <c r="L7" s="77" t="str">
        <f>IF(J7="syllables","1",IF(J7="trigrams","1",IF(J7="strings","1",IF(J7="visual array","1",IF(J7="characters","1",IF(J7="letters","1",IF(J7="free forms","1",IF(J7="odors","2",IF(J7="words","2",IF(J7="pictures","2",IF(J7="object pictures","2",IF(J7="faces","2",IF(J7="names","2",IF(J7="idioms","2",IF(J7="grades","2",IF(J7="syllable-digit pairs","3",IF(J7="trigram-word pairs","3",IF(J7="word-digit pairs","3",IF(J7="English-Swahili pairs","3",IF(J7="spatial position","3",IF(J7="word pairs","4",IF(J7="word triads","4",IF(J7="generated words","4",IF(J7="word definition pairs","4",IF(J7="math problems","4",IF(J7="famous faces","4",IF(J7="famous names","4",IF(J7="famous voices","4",IF(J7="television programs","4",IF(J7="race horses","4",IF(J7="new vocabulary","4",IF(J7="sentences","5",IF(J7="concepts","5",IF(J7="ad slides","5",IF(J7="scenes","5",IF(J7="famous scenes","5",IF(J7="poems","6",IF(J7="walk","6",IF(J7="faces and events","6",IF(J7="events and names","6",IF(J7="flashbulb","7",IF(J7="stories","7",IF(J7="course material","7",IF(J7="autobiographical","7",IF(J7="novels","7",IF(J7="public events","7",IF(J7="order","90","99")))))))))))))))))))))))))))))))))))))))))))))))</f>
        <v>1</v>
      </c>
      <c r="M7" s="77" t="s">
        <v>195</v>
      </c>
      <c r="N7" s="77">
        <v>1</v>
      </c>
      <c r="O7" s="77" t="s">
        <v>195</v>
      </c>
      <c r="P7" s="77"/>
      <c r="Q7" s="77" t="s">
        <v>18</v>
      </c>
      <c r="R7" s="77" t="str">
        <f>IF(Q7="Free Recall","1",IF(Q7="Cued Recall","2",IF(Q7="Recognition","3",IF(Q7="Multiple Choice","4",IF(Q7="Savings","5",IF(Q7="Stem Completion","6",IF(Q7="Fragment Completion","7",IF(Q7="anagram solution","8",IF(Q7="Matching","9",IF(Q7="Problem Solving","10","99"))))))))))</f>
        <v>3</v>
      </c>
      <c r="S7" s="77" t="s">
        <v>196</v>
      </c>
      <c r="T7" s="96" t="s">
        <v>132</v>
      </c>
      <c r="U7" s="32">
        <f>IF(T7="within",1,0)</f>
        <v>1</v>
      </c>
      <c r="V7" s="96">
        <v>400</v>
      </c>
      <c r="W7" s="77">
        <f>F7*V7</f>
        <v>6800</v>
      </c>
      <c r="X7" s="77">
        <v>6</v>
      </c>
      <c r="Y7" s="98">
        <f>AV6</f>
        <v>54</v>
      </c>
      <c r="Z7" s="77" t="s">
        <v>206</v>
      </c>
      <c r="AA7" s="77">
        <v>702</v>
      </c>
      <c r="AB7" s="77" t="str">
        <f>IF(AA7&lt;60,"1",IF(AA7&lt;=43200,"2",IF(AA7&lt;=777600,"3","4")))</f>
        <v>2</v>
      </c>
      <c r="AC7" s="100">
        <f>AVERAGE(AV6:DA6)</f>
        <v>242.5</v>
      </c>
      <c r="AD7" s="77" t="str">
        <f>IF(AC7&lt;60,"1",IF(AC7&lt;=43200,"2",IF(AC7&lt;=777600,"3","4")))</f>
        <v>2</v>
      </c>
      <c r="AE7" s="98">
        <f>AA7-Y7</f>
        <v>648</v>
      </c>
      <c r="AF7" s="99">
        <f>AV7</f>
        <v>1.42</v>
      </c>
      <c r="AG7" s="100">
        <f>((AW7-AV7)+(AX7-AW7)+(AY7-AX7)+(AZ7-AY7)+(BA7-AZ7))/5</f>
        <v>-0.182</v>
      </c>
      <c r="AH7" s="84"/>
      <c r="AI7" s="100">
        <f>RSQ(AV7:BA7,AV6:BA6)</f>
        <v>0.7465769949128177</v>
      </c>
      <c r="AJ7" s="105">
        <f>SLOPE(AV7:BA7,AV6:BA6)</f>
        <v>-1.2319327216829886E-3</v>
      </c>
      <c r="AK7" s="100">
        <f>INTERCEPT(AV7:BA7,AV6:BA6)</f>
        <v>1.2854103516747915</v>
      </c>
      <c r="AL7" s="100">
        <f>INDEX(LINEST(LN(AV7:BA7),LN(AV6:BA6),TRUE,TRUE),3,1)</f>
        <v>0.94808697836400802</v>
      </c>
      <c r="AM7" s="100">
        <f>INDEX(LINEST(LN(AV7:BA7),LN(AV6:BA6)),1)</f>
        <v>-0.38727369123979294</v>
      </c>
      <c r="AN7" s="100">
        <f>EXP(INDEX(LINEST(LN(AV7:BA7),LN(AV6:BA6)),1,2))</f>
        <v>6.6490460975189292</v>
      </c>
      <c r="AO7" s="104">
        <f>INDEX(LINEST((AV7:BA7),LN(AV6:BA6),TRUE,TRUE),3,1)</f>
        <v>0.92803959010451431</v>
      </c>
      <c r="AP7" s="104">
        <f>INDEX(LINEST((AV7:BA7),LN(AV6:BA6)),1)</f>
        <v>-0.34960420941466741</v>
      </c>
      <c r="AQ7" s="48">
        <f>INDEX(LINEST(LN(AV7:BA7),SQRT(AV6:BA6),TRUE,TRUE),3,1)</f>
        <v>0.91336661268786656</v>
      </c>
      <c r="AR7" s="56">
        <f>INDEX(LINEST(LN(AV7:BA7),SQRT((AV6:BA6))),1)</f>
        <v>-5.0908989572750883E-2</v>
      </c>
      <c r="AS7" s="49">
        <f>INDEX(LINEST(1/(AV7:BA7),1/(SQRT(AV6:BA6)),TRUE,TRUE),3,1)</f>
        <v>0.86190352455431352</v>
      </c>
      <c r="AT7" s="49">
        <f>INDEX(LINEST(1/(AV7:BA7),1/SQRT(AV6:BA6)),1)</f>
        <v>-11.5640971813334</v>
      </c>
      <c r="AU7" s="63"/>
      <c r="AV7" s="65">
        <v>1.42</v>
      </c>
      <c r="AW7" s="65">
        <v>1.33</v>
      </c>
      <c r="AX7" s="65">
        <v>1.1000000000000001</v>
      </c>
      <c r="AY7" s="65">
        <v>0.78</v>
      </c>
      <c r="AZ7" s="65">
        <v>0.78</v>
      </c>
      <c r="BA7" s="65">
        <v>0.51</v>
      </c>
      <c r="BB7" s="65"/>
      <c r="BC7" s="65"/>
      <c r="BD7" s="65"/>
      <c r="BE7" s="65"/>
      <c r="BF7" s="65"/>
      <c r="BG7" s="65"/>
      <c r="BH7" s="65"/>
      <c r="BI7" s="65"/>
      <c r="BJ7" s="65"/>
      <c r="BK7" s="65"/>
      <c r="BL7" s="61"/>
      <c r="BM7" s="61"/>
      <c r="BN7" s="61"/>
      <c r="BO7" s="61"/>
      <c r="BP7" s="61"/>
      <c r="BQ7" s="61"/>
      <c r="BR7" s="61"/>
      <c r="BS7" s="61"/>
      <c r="BT7" s="61"/>
      <c r="BU7" s="61"/>
      <c r="BV7" s="61"/>
      <c r="BW7" s="61"/>
      <c r="BX7" s="61"/>
      <c r="BY7" s="61"/>
      <c r="BZ7" s="61"/>
      <c r="CA7" s="61"/>
      <c r="CB7" s="61"/>
      <c r="CC7" s="61"/>
      <c r="CD7" s="61"/>
      <c r="CE7" s="61"/>
      <c r="CF7" s="61"/>
      <c r="CG7" s="61"/>
      <c r="CH7" s="61"/>
      <c r="CI7" s="61"/>
      <c r="CJ7" s="61"/>
      <c r="CK7" s="61"/>
      <c r="CL7" s="61"/>
      <c r="CM7" s="61"/>
      <c r="CN7" s="61"/>
      <c r="CO7" s="61"/>
      <c r="CP7" s="61"/>
      <c r="CQ7" s="61"/>
      <c r="CR7" s="59"/>
      <c r="CS7" s="59"/>
      <c r="CT7" s="59"/>
      <c r="CU7" s="59"/>
    </row>
    <row r="8" spans="1:99" s="60" customFormat="1" ht="12" customHeight="1" x14ac:dyDescent="0.2">
      <c r="A8" s="94">
        <v>43509</v>
      </c>
      <c r="B8" s="101"/>
      <c r="C8" s="101"/>
      <c r="D8" s="77"/>
      <c r="E8" s="98"/>
      <c r="F8" s="77"/>
      <c r="G8" s="77"/>
      <c r="H8" s="77"/>
      <c r="I8" s="77"/>
      <c r="J8" s="77"/>
      <c r="K8" s="102"/>
      <c r="L8" s="102"/>
      <c r="M8" s="77"/>
      <c r="N8" s="77"/>
      <c r="O8" s="77"/>
      <c r="P8" s="77"/>
      <c r="Q8" s="77"/>
      <c r="R8" s="77"/>
      <c r="S8" s="77"/>
      <c r="T8" s="96"/>
      <c r="U8" s="32"/>
      <c r="V8" s="77"/>
      <c r="W8" s="77"/>
      <c r="X8" s="77"/>
      <c r="Y8" s="98"/>
      <c r="Z8" s="77"/>
      <c r="AA8" s="77"/>
      <c r="AB8" s="77"/>
      <c r="AC8" s="77"/>
      <c r="AD8" s="77"/>
      <c r="AE8" s="77"/>
      <c r="AF8" s="99"/>
      <c r="AG8" s="100"/>
      <c r="AH8" s="84"/>
      <c r="AI8" s="100"/>
      <c r="AJ8" s="105"/>
      <c r="AK8" s="100"/>
      <c r="AL8" s="100"/>
      <c r="AM8" s="100"/>
      <c r="AN8" s="100"/>
      <c r="AO8" s="100"/>
      <c r="AP8" s="100"/>
      <c r="AQ8" s="100"/>
      <c r="AR8" s="105"/>
      <c r="AS8" s="100"/>
      <c r="AT8" s="100"/>
      <c r="AU8" s="62"/>
      <c r="AV8" s="64">
        <f>60*0.9</f>
        <v>54</v>
      </c>
      <c r="AW8" s="64">
        <f>60*1.2</f>
        <v>72</v>
      </c>
      <c r="AX8" s="64">
        <f>60*1.75</f>
        <v>105</v>
      </c>
      <c r="AY8" s="64">
        <f>60*2.3</f>
        <v>138</v>
      </c>
      <c r="AZ8" s="64">
        <f>60*3.5</f>
        <v>210</v>
      </c>
      <c r="BA8" s="64">
        <f>60*5.8</f>
        <v>348</v>
      </c>
      <c r="BB8" s="64">
        <f>60*11.7</f>
        <v>702</v>
      </c>
      <c r="BC8" s="64">
        <f>60*23.3</f>
        <v>1398</v>
      </c>
      <c r="BD8" s="65"/>
      <c r="BE8" s="65"/>
      <c r="BF8" s="65"/>
      <c r="BG8" s="65"/>
      <c r="BH8" s="65"/>
      <c r="BI8" s="65"/>
      <c r="BJ8" s="65"/>
      <c r="BK8" s="65"/>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1"/>
      <c r="CM8" s="61"/>
      <c r="CN8" s="61"/>
      <c r="CO8" s="61"/>
      <c r="CP8" s="61"/>
      <c r="CQ8" s="61"/>
      <c r="CR8" s="59"/>
      <c r="CS8" s="59"/>
      <c r="CT8" s="59"/>
      <c r="CU8" s="59"/>
    </row>
    <row r="9" spans="1:99" s="60" customFormat="1" ht="12" customHeight="1" x14ac:dyDescent="0.2">
      <c r="A9" s="94">
        <v>43509</v>
      </c>
      <c r="B9" s="101" t="s">
        <v>203</v>
      </c>
      <c r="C9" s="101" t="s">
        <v>204</v>
      </c>
      <c r="D9" s="77">
        <v>1972</v>
      </c>
      <c r="E9" s="98">
        <v>1</v>
      </c>
      <c r="F9" s="77">
        <v>17</v>
      </c>
      <c r="G9" s="77">
        <v>17</v>
      </c>
      <c r="H9" s="77" t="s">
        <v>28</v>
      </c>
      <c r="I9" s="77" t="s">
        <v>207</v>
      </c>
      <c r="J9" s="77" t="s">
        <v>12</v>
      </c>
      <c r="K9" s="77" t="str">
        <f>IF(J9="syllables","1",IF(J9="trigrams","2",IF(J9="strings","3",IF(J9="visual array","4",IF(J9="characters","5",IF(J9="letters","6",IF(J9="free forms","7",IF(J9="odors","8",IF(J9="words","9",IF(J9="pictures","10",IF(J9="object pictures","11",IF(J9="faces","12",IF(J9="names","13",IF(J9="idioms","14",IF(J9="grades","15",IF(J9="syllable-digit pairs","16",IF(J9="trigram-word pairs","17",IF(J9="word-digit pairs","18",IF(J9="English-Swahili pairs","19",IF(J9="spatial position","20",IF(J9="word pairs","21",IF(J9="word triads","22",IF(J9="generated words","23",IF(J9="word definition pairs","24",IF(J9="math problems","25",IF(J9="famous faces","26",IF(J9="famous names","27",IF(J9="famous voices","28",IF(J9="television programs","29",IF(J9="race horses","30",IF(J9="new vocabulary","31",IF(J9="sentences","32",IF(J9="concepts","33",IF(J9="ad slides","34",IF(J9="scenes","35",IF(J9="famous scenes","36",IF(J9="poems","37",IF(J9="walk","38",IF(J9="faces and events","39",IF(J9="events and names","40",IF(J9="flashbulb","41",IF(J9="stories","42",IF(J9="course material","43",IF(J9="autobiographical","44",IF(J9="novels","45",IF(J9="public events","46",IF(J9="order","90","99")))))))))))))))))))))))))))))))))))))))))))))))</f>
        <v>9</v>
      </c>
      <c r="L9" s="77" t="str">
        <f>IF(J9="syllables","1",IF(J9="trigrams","1",IF(J9="strings","1",IF(J9="visual array","1",IF(J9="characters","1",IF(J9="letters","1",IF(J9="free forms","1",IF(J9="odors","2",IF(J9="words","2",IF(J9="pictures","2",IF(J9="object pictures","2",IF(J9="faces","2",IF(J9="names","2",IF(J9="idioms","2",IF(J9="grades","2",IF(J9="syllable-digit pairs","3",IF(J9="trigram-word pairs","3",IF(J9="word-digit pairs","3",IF(J9="English-Swahili pairs","3",IF(J9="spatial position","3",IF(J9="word pairs","4",IF(J9="word triads","4",IF(J9="generated words","4",IF(J9="word definition pairs","4",IF(J9="math problems","4",IF(J9="famous faces","4",IF(J9="famous names","4",IF(J9="famous voices","4",IF(J9="television programs","4",IF(J9="race horses","4",IF(J9="new vocabulary","4",IF(J9="sentences","5",IF(J9="concepts","5",IF(J9="ad slides","5",IF(J9="scenes","5",IF(J9="famous scenes","5",IF(J9="poems","6",IF(J9="walk","6",IF(J9="faces and events","6",IF(J9="events and names","6",IF(J9="flashbulb","7",IF(J9="stories","7",IF(J9="course material","7",IF(J9="autobiographical","7",IF(J9="novels","7",IF(J9="public events","7",IF(J9="order","90","99")))))))))))))))))))))))))))))))))))))))))))))))</f>
        <v>2</v>
      </c>
      <c r="M9" s="77" t="s">
        <v>195</v>
      </c>
      <c r="N9" s="77">
        <v>1</v>
      </c>
      <c r="O9" s="77" t="s">
        <v>195</v>
      </c>
      <c r="P9" s="77"/>
      <c r="Q9" s="77" t="s">
        <v>18</v>
      </c>
      <c r="R9" s="77" t="str">
        <f>IF(Q9="Free Recall","1",IF(Q9="Cued Recall","2",IF(Q9="Recognition","3",IF(Q9="Multiple Choice","4",IF(Q9="Savings","5",IF(Q9="Stem Completion","6",IF(Q9="Fragment Completion","7",IF(Q9="anagram solution","8",IF(Q9="Matching","9",IF(Q9="Problem Solving","10","99"))))))))))</f>
        <v>3</v>
      </c>
      <c r="S9" s="77" t="s">
        <v>196</v>
      </c>
      <c r="T9" s="96" t="s">
        <v>132</v>
      </c>
      <c r="U9" s="32">
        <f>IF(T9="within",1,0)</f>
        <v>1</v>
      </c>
      <c r="V9" s="96">
        <v>400</v>
      </c>
      <c r="W9" s="77">
        <f>F9*V9</f>
        <v>6800</v>
      </c>
      <c r="X9" s="77">
        <v>8</v>
      </c>
      <c r="Y9" s="98">
        <f>AV8</f>
        <v>54</v>
      </c>
      <c r="Z9" s="77" t="s">
        <v>208</v>
      </c>
      <c r="AA9" s="77">
        <v>1398</v>
      </c>
      <c r="AB9" s="77" t="str">
        <f>IF(AA9&lt;60,"1",IF(AA9&lt;=43200,"2",IF(AA9&lt;=777600,"3","4")))</f>
        <v>2</v>
      </c>
      <c r="AC9" s="100">
        <f>AVERAGE(AV8:DA8)</f>
        <v>378.375</v>
      </c>
      <c r="AD9" s="77" t="str">
        <f>IF(AC9&lt;60,"1",IF(AC9&lt;=43200,"2",IF(AC9&lt;=777600,"3","4")))</f>
        <v>2</v>
      </c>
      <c r="AE9" s="98">
        <f>AA9-Y9</f>
        <v>1344</v>
      </c>
      <c r="AF9" s="99">
        <f>AV9</f>
        <v>4.37</v>
      </c>
      <c r="AG9" s="100">
        <f>((AW9-AV9)+(AX9-AW9)+(AY9-AX9)+(AZ9-AY9)+(BA9-AZ9)+(BB9-BA9)+(BC9-BB9))/7</f>
        <v>-0.21428571428571427</v>
      </c>
      <c r="AH9" s="84"/>
      <c r="AI9" s="100">
        <f>RSQ(AV9:BC9,AV8:BC8)</f>
        <v>0.67973003866284976</v>
      </c>
      <c r="AJ9" s="105">
        <f>SLOPE(AV9:BC9,AV8:BC8)</f>
        <v>-1.0086515280496406E-3</v>
      </c>
      <c r="AK9" s="100">
        <f>INTERCEPT(AV9:BC9,AV8:BC8)</f>
        <v>3.9791485219257829</v>
      </c>
      <c r="AL9" s="100">
        <f>INDEX(LINEST(LN(AV9:BC9),LN(AV8:BC8),TRUE,TRUE),3,1)</f>
        <v>0.96372566225794087</v>
      </c>
      <c r="AM9" s="100">
        <f>INDEX(LINEST(LN(AV9:BC9),LN(AV8:BC8)),1)</f>
        <v>-0.14009386451260886</v>
      </c>
      <c r="AN9" s="100">
        <f>EXP(INDEX(LINEST(LN(AV9:BC9),LN(AV8:BC8)),1,2))</f>
        <v>7.5328700208289039</v>
      </c>
      <c r="AO9" s="104">
        <f>INDEX(LINEST((AV9:BC9),LN(AV8:BC8),TRUE,TRUE),3,1)</f>
        <v>0.95612006534909966</v>
      </c>
      <c r="AP9" s="104">
        <f>INDEX(LINEST((AV9:BC9),LN(AV8:BC8)),1)</f>
        <v>-0.49054485679991228</v>
      </c>
      <c r="AQ9" s="48">
        <f>INDEX(LINEST(LN(AV9:BC9),SQRT(AV8:BC8),TRUE,TRUE),3,1)</f>
        <v>0.86227269127264095</v>
      </c>
      <c r="AR9" s="56">
        <f>INDEX(LINEST(LN(AV9:BC9),SQRT((AV8:BC8))),1)</f>
        <v>-1.4442468167535263E-2</v>
      </c>
      <c r="AS9" s="49">
        <f>INDEX(LINEST(1/(AV9:BC9),1/(SQRT(AV8:BC8)),TRUE,TRUE),3,1)</f>
        <v>0.93568265827451613</v>
      </c>
      <c r="AT9" s="49">
        <f>INDEX(LINEST(1/(AV9:BC9),1/SQRT(AV8:BC8)),1)</f>
        <v>-1.1745634615381135</v>
      </c>
      <c r="AU9" s="63"/>
      <c r="AV9" s="65">
        <v>4.37</v>
      </c>
      <c r="AW9" s="65">
        <v>4.17</v>
      </c>
      <c r="AX9" s="65">
        <v>3.91</v>
      </c>
      <c r="AY9" s="65">
        <v>3.74</v>
      </c>
      <c r="AZ9" s="65">
        <v>3.64</v>
      </c>
      <c r="BA9" s="65">
        <v>3.21</v>
      </c>
      <c r="BB9" s="65">
        <v>2.87</v>
      </c>
      <c r="BC9" s="65">
        <v>2.87</v>
      </c>
      <c r="BD9" s="65"/>
      <c r="BE9" s="65"/>
      <c r="BF9" s="65"/>
      <c r="BG9" s="65"/>
      <c r="BH9" s="65"/>
      <c r="BI9" s="65"/>
      <c r="BJ9" s="65"/>
      <c r="BK9" s="65"/>
      <c r="BL9" s="61"/>
      <c r="BM9" s="61"/>
      <c r="BN9" s="61"/>
      <c r="BO9" s="61"/>
      <c r="BP9" s="61"/>
      <c r="BQ9" s="61"/>
      <c r="BR9" s="61"/>
      <c r="BS9" s="61"/>
      <c r="BT9" s="61"/>
      <c r="BU9" s="61"/>
      <c r="BV9" s="61"/>
      <c r="BW9" s="61"/>
      <c r="BX9" s="61"/>
      <c r="BY9" s="61"/>
      <c r="BZ9" s="61"/>
      <c r="CA9" s="61"/>
      <c r="CB9" s="61"/>
      <c r="CC9" s="61"/>
      <c r="CD9" s="61"/>
      <c r="CE9" s="61"/>
      <c r="CF9" s="61"/>
      <c r="CG9" s="61"/>
      <c r="CH9" s="61"/>
      <c r="CI9" s="61"/>
      <c r="CJ9" s="61"/>
      <c r="CK9" s="61"/>
      <c r="CL9" s="61"/>
      <c r="CM9" s="61"/>
      <c r="CN9" s="61"/>
      <c r="CO9" s="61"/>
      <c r="CP9" s="61"/>
      <c r="CQ9" s="61"/>
      <c r="CR9" s="59"/>
      <c r="CS9" s="59"/>
      <c r="CT9" s="59"/>
      <c r="CU9" s="59"/>
    </row>
    <row r="10" spans="1:99" s="60" customFormat="1" ht="12" customHeight="1" x14ac:dyDescent="0.2">
      <c r="A10" s="94">
        <v>43509</v>
      </c>
      <c r="B10" s="101"/>
      <c r="C10" s="101"/>
      <c r="D10" s="77"/>
      <c r="E10" s="98"/>
      <c r="F10" s="77"/>
      <c r="G10" s="77"/>
      <c r="H10" s="77"/>
      <c r="I10" s="77"/>
      <c r="J10" s="77"/>
      <c r="K10" s="102"/>
      <c r="L10" s="102"/>
      <c r="M10" s="77"/>
      <c r="N10" s="77"/>
      <c r="O10" s="77"/>
      <c r="P10" s="77"/>
      <c r="Q10" s="77"/>
      <c r="R10" s="77"/>
      <c r="S10" s="77"/>
      <c r="T10" s="96"/>
      <c r="U10" s="32"/>
      <c r="V10" s="77"/>
      <c r="W10" s="77"/>
      <c r="X10" s="77"/>
      <c r="Y10" s="98"/>
      <c r="Z10" s="77"/>
      <c r="AA10" s="77"/>
      <c r="AB10" s="77"/>
      <c r="AC10" s="77"/>
      <c r="AD10" s="77"/>
      <c r="AE10" s="77"/>
      <c r="AF10" s="99"/>
      <c r="AG10" s="100"/>
      <c r="AH10" s="84"/>
      <c r="AI10" s="100"/>
      <c r="AJ10" s="105"/>
      <c r="AK10" s="100"/>
      <c r="AL10" s="100"/>
      <c r="AM10" s="100"/>
      <c r="AN10" s="100"/>
      <c r="AO10" s="100"/>
      <c r="AP10" s="100"/>
      <c r="AQ10" s="104"/>
      <c r="AR10" s="106"/>
      <c r="AS10" s="104"/>
      <c r="AT10" s="104"/>
      <c r="AU10" s="62"/>
      <c r="AV10" s="64">
        <f>60*0.9</f>
        <v>54</v>
      </c>
      <c r="AW10" s="64">
        <f>60*1.2</f>
        <v>72</v>
      </c>
      <c r="AX10" s="64">
        <f>60*1.75</f>
        <v>105</v>
      </c>
      <c r="AY10" s="64">
        <f>60*2.3</f>
        <v>138</v>
      </c>
      <c r="AZ10" s="64">
        <f>60*3.5</f>
        <v>210</v>
      </c>
      <c r="BA10" s="64">
        <f>60*5.8</f>
        <v>348</v>
      </c>
      <c r="BB10" s="64">
        <f>60*11.7</f>
        <v>702</v>
      </c>
      <c r="BC10" s="64">
        <f>60*23.3</f>
        <v>1398</v>
      </c>
      <c r="BD10" s="65"/>
      <c r="BE10" s="65"/>
      <c r="BF10" s="65"/>
      <c r="BG10" s="65"/>
      <c r="BH10" s="65"/>
      <c r="BI10" s="65"/>
      <c r="BJ10" s="65"/>
      <c r="BK10" s="65"/>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c r="CN10" s="61"/>
      <c r="CO10" s="61"/>
      <c r="CP10" s="61"/>
      <c r="CQ10" s="61"/>
      <c r="CR10" s="59"/>
      <c r="CS10" s="59"/>
      <c r="CT10" s="59"/>
      <c r="CU10" s="59"/>
    </row>
    <row r="11" spans="1:99" s="60" customFormat="1" ht="12" customHeight="1" x14ac:dyDescent="0.2">
      <c r="A11" s="94">
        <v>43509</v>
      </c>
      <c r="B11" s="101" t="s">
        <v>203</v>
      </c>
      <c r="C11" s="101" t="s">
        <v>204</v>
      </c>
      <c r="D11" s="77">
        <v>1972</v>
      </c>
      <c r="E11" s="98">
        <v>1</v>
      </c>
      <c r="F11" s="77">
        <v>17</v>
      </c>
      <c r="G11" s="77">
        <v>17</v>
      </c>
      <c r="H11" s="77" t="s">
        <v>16</v>
      </c>
      <c r="I11" s="77" t="s">
        <v>209</v>
      </c>
      <c r="J11" s="77" t="s">
        <v>12</v>
      </c>
      <c r="K11" s="77" t="str">
        <f>IF(J11="syllables","1",IF(J11="trigrams","2",IF(J11="strings","3",IF(J11="visual array","4",IF(J11="characters","5",IF(J11="letters","6",IF(J11="free forms","7",IF(J11="odors","8",IF(J11="words","9",IF(J11="pictures","10",IF(J11="object pictures","11",IF(J11="faces","12",IF(J11="names","13",IF(J11="idioms","14",IF(J11="grades","15",IF(J11="syllable-digit pairs","16",IF(J11="trigram-word pairs","17",IF(J11="word-digit pairs","18",IF(J11="English-Swahili pairs","19",IF(J11="spatial position","20",IF(J11="word pairs","21",IF(J11="word triads","22",IF(J11="generated words","23",IF(J11="word definition pairs","24",IF(J11="math problems","25",IF(J11="famous faces","26",IF(J11="famous names","27",IF(J11="famous voices","28",IF(J11="television programs","29",IF(J11="race horses","30",IF(J11="new vocabulary","31",IF(J11="sentences","32",IF(J11="concepts","33",IF(J11="ad slides","34",IF(J11="scenes","35",IF(J11="famous scenes","36",IF(J11="poems","37",IF(J11="walk","38",IF(J11="faces and events","39",IF(J11="events and names","40",IF(J11="flashbulb","41",IF(J11="stories","42",IF(J11="course material","43",IF(J11="autobiographical","44",IF(J11="novels","45",IF(J11="public events","46",IF(J11="order","90","99")))))))))))))))))))))))))))))))))))))))))))))))</f>
        <v>9</v>
      </c>
      <c r="L11" s="77" t="str">
        <f>IF(J11="syllables","1",IF(J11="trigrams","1",IF(J11="strings","1",IF(J11="visual array","1",IF(J11="characters","1",IF(J11="letters","1",IF(J11="free forms","1",IF(J11="odors","2",IF(J11="words","2",IF(J11="pictures","2",IF(J11="object pictures","2",IF(J11="faces","2",IF(J11="names","2",IF(J11="idioms","2",IF(J11="grades","2",IF(J11="syllable-digit pairs","3",IF(J11="trigram-word pairs","3",IF(J11="word-digit pairs","3",IF(J11="English-Swahili pairs","3",IF(J11="spatial position","3",IF(J11="word pairs","4",IF(J11="word triads","4",IF(J11="generated words","4",IF(J11="word definition pairs","4",IF(J11="math problems","4",IF(J11="famous faces","4",IF(J11="famous names","4",IF(J11="famous voices","4",IF(J11="television programs","4",IF(J11="race horses","4",IF(J11="new vocabulary","4",IF(J11="sentences","5",IF(J11="concepts","5",IF(J11="ad slides","5",IF(J11="scenes","5",IF(J11="famous scenes","5",IF(J11="poems","6",IF(J11="walk","6",IF(J11="faces and events","6",IF(J11="events and names","6",IF(J11="flashbulb","7",IF(J11="stories","7",IF(J11="course material","7",IF(J11="autobiographical","7",IF(J11="novels","7",IF(J11="public events","7",IF(J11="order","90","99")))))))))))))))))))))))))))))))))))))))))))))))</f>
        <v>2</v>
      </c>
      <c r="M11" s="77" t="s">
        <v>195</v>
      </c>
      <c r="N11" s="77">
        <v>1</v>
      </c>
      <c r="O11" s="77" t="s">
        <v>195</v>
      </c>
      <c r="P11" s="77"/>
      <c r="Q11" s="77" t="s">
        <v>18</v>
      </c>
      <c r="R11" s="77" t="str">
        <f>IF(Q11="Free Recall","1",IF(Q11="Cued Recall","2",IF(Q11="Recognition","3",IF(Q11="Multiple Choice","4",IF(Q11="Savings","5",IF(Q11="Stem Completion","6",IF(Q11="Fragment Completion","7",IF(Q11="anagram solution","8",IF(Q11="Matching","9",IF(Q11="Problem Solving","10","99"))))))))))</f>
        <v>3</v>
      </c>
      <c r="S11" s="77" t="s">
        <v>196</v>
      </c>
      <c r="T11" s="96" t="s">
        <v>132</v>
      </c>
      <c r="U11" s="32">
        <f>IF(T11="within",1,0)</f>
        <v>1</v>
      </c>
      <c r="V11" s="96">
        <v>400</v>
      </c>
      <c r="W11" s="77">
        <f>F11*V11</f>
        <v>6800</v>
      </c>
      <c r="X11" s="77">
        <v>8</v>
      </c>
      <c r="Y11" s="98">
        <f>AV10</f>
        <v>54</v>
      </c>
      <c r="Z11" s="77" t="s">
        <v>208</v>
      </c>
      <c r="AA11" s="77">
        <v>1398</v>
      </c>
      <c r="AB11" s="77" t="str">
        <f>IF(AA11&lt;60,"1",IF(AA11&lt;=43200,"2",IF(AA11&lt;=777600,"3","4")))</f>
        <v>2</v>
      </c>
      <c r="AC11" s="100">
        <f>AVERAGE(AV10:DA10)</f>
        <v>378.375</v>
      </c>
      <c r="AD11" s="77" t="str">
        <f>IF(AC11&lt;60,"1",IF(AC11&lt;=43200,"2",IF(AC11&lt;=777600,"3","4")))</f>
        <v>2</v>
      </c>
      <c r="AE11" s="98">
        <f>AA11-Y11</f>
        <v>1344</v>
      </c>
      <c r="AF11" s="99">
        <f>AV11</f>
        <v>6.27</v>
      </c>
      <c r="AG11" s="100">
        <f>((AW11-AV11)+(AX11-AW11)+(AY11-AX11)+(AZ11-AY11)+(BA11-AZ11)+(BB11-BA11)+(BC11-BB11))/7</f>
        <v>-0.16571428571428562</v>
      </c>
      <c r="AH11" s="84"/>
      <c r="AI11" s="100">
        <f>RSQ(AV11:BC11,AV10:BC10)</f>
        <v>0.47771063200357067</v>
      </c>
      <c r="AJ11" s="105">
        <f>SLOPE(AV11:BC11,AV10:BC10)</f>
        <v>-5.9926162931340057E-4</v>
      </c>
      <c r="AK11" s="100">
        <f>INTERCEPT(AV11:BC11,AV10:BC10)</f>
        <v>5.7542456189914581</v>
      </c>
      <c r="AL11" s="100">
        <f>INDEX(LINEST(LN(AV11:BC11),LN(AV10:BC10),TRUE,TRUE),3,1)</f>
        <v>0.77684011517101725</v>
      </c>
      <c r="AM11" s="100">
        <f>INDEX(LINEST(LN(AV11:BC11),LN(AV10:BC10)),1)</f>
        <v>-5.5660573317711515E-2</v>
      </c>
      <c r="AN11" s="100">
        <f>EXP(INDEX(LINEST(LN(AV11:BC11),LN(AV10:BC10)),1,2))</f>
        <v>7.430253443379927</v>
      </c>
      <c r="AO11" s="104">
        <f>INDEX(LINEST((AV11:BC11),LN(AV10:BC10),TRUE,TRUE),3,1)</f>
        <v>0.75680652186189157</v>
      </c>
      <c r="AP11" s="104">
        <f>INDEX(LINEST((AV11:BC11),LN(AV10:BC10)),1)</f>
        <v>-0.30929723751963173</v>
      </c>
      <c r="AQ11" s="48">
        <f>INDEX(LINEST(LN(AV11:BC11),SQRT(AV10:BC10),TRUE,TRUE),3,1)</f>
        <v>0.6418601957199116</v>
      </c>
      <c r="AR11" s="56">
        <f>INDEX(LINEST(LN(AV11:BC11),SQRT((AV10:BC10))),1)</f>
        <v>-5.5141525246314577E-3</v>
      </c>
      <c r="AS11" s="49">
        <f>INDEX(LINEST(1/(AV11:BC11),1/(SQRT(AV10:BC10)),TRUE,TRUE),3,1)</f>
        <v>0.85460798449639686</v>
      </c>
      <c r="AT11" s="49">
        <f>INDEX(LINEST(1/(AV11:BC11),1/SQRT(AV10:BC10)),1)</f>
        <v>-0.30664230426080458</v>
      </c>
      <c r="AU11" s="63"/>
      <c r="AV11" s="65">
        <v>6.27</v>
      </c>
      <c r="AW11" s="65">
        <v>5.7</v>
      </c>
      <c r="AX11" s="65">
        <v>5.53</v>
      </c>
      <c r="AY11" s="65">
        <v>5.85</v>
      </c>
      <c r="AZ11" s="65">
        <v>5.42</v>
      </c>
      <c r="BA11" s="65">
        <v>5.22</v>
      </c>
      <c r="BB11" s="65">
        <v>5.12</v>
      </c>
      <c r="BC11" s="65">
        <v>5.1100000000000003</v>
      </c>
      <c r="BD11" s="65"/>
      <c r="BE11" s="65"/>
      <c r="BF11" s="65"/>
      <c r="BG11" s="65"/>
      <c r="BH11" s="65"/>
      <c r="BI11" s="65"/>
      <c r="BJ11" s="65"/>
      <c r="BK11" s="65"/>
      <c r="BL11" s="61"/>
      <c r="BM11" s="61"/>
      <c r="BN11" s="61"/>
      <c r="BO11" s="61"/>
      <c r="BP11" s="61"/>
      <c r="BQ11" s="61"/>
      <c r="BR11" s="61"/>
      <c r="BS11" s="61"/>
      <c r="BT11" s="61"/>
      <c r="BU11" s="61"/>
      <c r="BV11" s="61"/>
      <c r="BW11" s="61"/>
      <c r="BX11" s="61"/>
      <c r="BY11" s="61"/>
      <c r="BZ11" s="61"/>
      <c r="CA11" s="61"/>
      <c r="CB11" s="61"/>
      <c r="CC11" s="61"/>
      <c r="CD11" s="61"/>
      <c r="CE11" s="61"/>
      <c r="CF11" s="61"/>
      <c r="CG11" s="61"/>
      <c r="CH11" s="61"/>
      <c r="CI11" s="61"/>
      <c r="CJ11" s="61"/>
      <c r="CK11" s="61"/>
      <c r="CL11" s="61"/>
      <c r="CM11" s="61"/>
      <c r="CN11" s="61"/>
      <c r="CO11" s="61"/>
      <c r="CP11" s="61"/>
      <c r="CQ11" s="61"/>
      <c r="CR11" s="59"/>
      <c r="CS11" s="59"/>
      <c r="CT11" s="59"/>
      <c r="CU11" s="59"/>
    </row>
    <row r="12" spans="1:99" s="60" customFormat="1" ht="12" customHeight="1" x14ac:dyDescent="0.2">
      <c r="A12" s="94">
        <v>43509</v>
      </c>
      <c r="B12" s="101"/>
      <c r="C12" s="101"/>
      <c r="D12" s="77"/>
      <c r="E12" s="98"/>
      <c r="F12" s="77"/>
      <c r="G12" s="77"/>
      <c r="H12" s="77"/>
      <c r="I12" s="77"/>
      <c r="J12" s="77"/>
      <c r="K12" s="102"/>
      <c r="L12" s="102"/>
      <c r="M12" s="77"/>
      <c r="N12" s="77"/>
      <c r="O12" s="77"/>
      <c r="P12" s="77"/>
      <c r="Q12" s="77"/>
      <c r="R12" s="77"/>
      <c r="S12" s="77"/>
      <c r="T12" s="96"/>
      <c r="U12" s="32"/>
      <c r="V12" s="77"/>
      <c r="W12" s="77"/>
      <c r="X12" s="77"/>
      <c r="Y12" s="98"/>
      <c r="Z12" s="77"/>
      <c r="AA12" s="77"/>
      <c r="AB12" s="77"/>
      <c r="AC12" s="77"/>
      <c r="AD12" s="77"/>
      <c r="AE12" s="77"/>
      <c r="AF12" s="99"/>
      <c r="AG12" s="100"/>
      <c r="AH12" s="84"/>
      <c r="AI12" s="100"/>
      <c r="AJ12" s="105"/>
      <c r="AK12" s="100"/>
      <c r="AL12" s="100"/>
      <c r="AM12" s="100"/>
      <c r="AN12" s="100"/>
      <c r="AO12" s="100"/>
      <c r="AP12" s="100"/>
      <c r="AQ12" s="104"/>
      <c r="AR12" s="106"/>
      <c r="AS12" s="104"/>
      <c r="AT12" s="104"/>
      <c r="AU12" s="62"/>
      <c r="AV12" s="64">
        <f>60*0.9</f>
        <v>54</v>
      </c>
      <c r="AW12" s="64">
        <f>60*1.2</f>
        <v>72</v>
      </c>
      <c r="AX12" s="64">
        <f>60*1.75</f>
        <v>105</v>
      </c>
      <c r="AY12" s="64">
        <f>60*2.3</f>
        <v>138</v>
      </c>
      <c r="AZ12" s="64">
        <f>60*3.5</f>
        <v>210</v>
      </c>
      <c r="BA12" s="64">
        <f>60*5.8</f>
        <v>348</v>
      </c>
      <c r="BB12" s="64">
        <f>60*11.7</f>
        <v>702</v>
      </c>
      <c r="BC12" s="64">
        <f>60*23.3</f>
        <v>1398</v>
      </c>
      <c r="BD12" s="65"/>
      <c r="BE12" s="65"/>
      <c r="BF12" s="65"/>
      <c r="BG12" s="65"/>
      <c r="BH12" s="65"/>
      <c r="BI12" s="65"/>
      <c r="BJ12" s="65"/>
      <c r="BK12" s="65"/>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1"/>
      <c r="CK12" s="61"/>
      <c r="CL12" s="61"/>
      <c r="CM12" s="61"/>
      <c r="CN12" s="61"/>
      <c r="CO12" s="61"/>
      <c r="CP12" s="61"/>
      <c r="CQ12" s="61"/>
      <c r="CR12" s="59"/>
      <c r="CS12" s="59"/>
      <c r="CT12" s="59"/>
      <c r="CU12" s="59"/>
    </row>
    <row r="13" spans="1:99" s="60" customFormat="1" ht="12" customHeight="1" x14ac:dyDescent="0.2">
      <c r="A13" s="94">
        <v>43509</v>
      </c>
      <c r="B13" s="101" t="s">
        <v>203</v>
      </c>
      <c r="C13" s="101" t="s">
        <v>204</v>
      </c>
      <c r="D13" s="77">
        <v>1972</v>
      </c>
      <c r="E13" s="98">
        <v>1</v>
      </c>
      <c r="F13" s="77">
        <v>17</v>
      </c>
      <c r="G13" s="77">
        <v>17</v>
      </c>
      <c r="H13" s="77" t="s">
        <v>16</v>
      </c>
      <c r="I13" s="77" t="s">
        <v>210</v>
      </c>
      <c r="J13" s="77" t="s">
        <v>12</v>
      </c>
      <c r="K13" s="77" t="str">
        <f>IF(J13="syllables","1",IF(J13="trigrams","2",IF(J13="strings","3",IF(J13="visual array","4",IF(J13="characters","5",IF(J13="letters","6",IF(J13="free forms","7",IF(J13="odors","8",IF(J13="words","9",IF(J13="pictures","10",IF(J13="object pictures","11",IF(J13="faces","12",IF(J13="names","13",IF(J13="idioms","14",IF(J13="grades","15",IF(J13="syllable-digit pairs","16",IF(J13="trigram-word pairs","17",IF(J13="word-digit pairs","18",IF(J13="English-Swahili pairs","19",IF(J13="spatial position","20",IF(J13="word pairs","21",IF(J13="word triads","22",IF(J13="generated words","23",IF(J13="word definition pairs","24",IF(J13="math problems","25",IF(J13="famous faces","26",IF(J13="famous names","27",IF(J13="famous voices","28",IF(J13="television programs","29",IF(J13="race horses","30",IF(J13="new vocabulary","31",IF(J13="sentences","32",IF(J13="concepts","33",IF(J13="ad slides","34",IF(J13="scenes","35",IF(J13="famous scenes","36",IF(J13="poems","37",IF(J13="walk","38",IF(J13="faces and events","39",IF(J13="events and names","40",IF(J13="flashbulb","41",IF(J13="stories","42",IF(J13="course material","43",IF(J13="autobiographical","44",IF(J13="novels","45",IF(J13="public events","46",IF(J13="order","90","99")))))))))))))))))))))))))))))))))))))))))))))))</f>
        <v>9</v>
      </c>
      <c r="L13" s="77" t="str">
        <f>IF(J13="syllables","1",IF(J13="trigrams","1",IF(J13="strings","1",IF(J13="visual array","1",IF(J13="characters","1",IF(J13="letters","1",IF(J13="free forms","1",IF(J13="odors","2",IF(J13="words","2",IF(J13="pictures","2",IF(J13="object pictures","2",IF(J13="faces","2",IF(J13="names","2",IF(J13="idioms","2",IF(J13="grades","2",IF(J13="syllable-digit pairs","3",IF(J13="trigram-word pairs","3",IF(J13="word-digit pairs","3",IF(J13="English-Swahili pairs","3",IF(J13="spatial position","3",IF(J13="word pairs","4",IF(J13="word triads","4",IF(J13="generated words","4",IF(J13="word definition pairs","4",IF(J13="math problems","4",IF(J13="famous faces","4",IF(J13="famous names","4",IF(J13="famous voices","4",IF(J13="television programs","4",IF(J13="race horses","4",IF(J13="new vocabulary","4",IF(J13="sentences","5",IF(J13="concepts","5",IF(J13="ad slides","5",IF(J13="scenes","5",IF(J13="famous scenes","5",IF(J13="poems","6",IF(J13="walk","6",IF(J13="faces and events","6",IF(J13="events and names","6",IF(J13="flashbulb","7",IF(J13="stories","7",IF(J13="course material","7",IF(J13="autobiographical","7",IF(J13="novels","7",IF(J13="public events","7",IF(J13="order","90","99")))))))))))))))))))))))))))))))))))))))))))))))</f>
        <v>2</v>
      </c>
      <c r="M13" s="77" t="s">
        <v>195</v>
      </c>
      <c r="N13" s="77">
        <v>1</v>
      </c>
      <c r="O13" s="77" t="s">
        <v>195</v>
      </c>
      <c r="P13" s="77"/>
      <c r="Q13" s="77" t="s">
        <v>18</v>
      </c>
      <c r="R13" s="77" t="str">
        <f>IF(Q13="Free Recall","1",IF(Q13="Cued Recall","2",IF(Q13="Recognition","3",IF(Q13="Multiple Choice","4",IF(Q13="Savings","5",IF(Q13="Stem Completion","6",IF(Q13="Fragment Completion","7",IF(Q13="anagram solution","8",IF(Q13="Matching","9",IF(Q13="Problem Solving","10","99"))))))))))</f>
        <v>3</v>
      </c>
      <c r="S13" s="77" t="s">
        <v>196</v>
      </c>
      <c r="T13" s="96" t="s">
        <v>132</v>
      </c>
      <c r="U13" s="32">
        <f>IF(T13="within",1,0)</f>
        <v>1</v>
      </c>
      <c r="V13" s="96">
        <v>400</v>
      </c>
      <c r="W13" s="77">
        <f>F13*V13</f>
        <v>6800</v>
      </c>
      <c r="X13" s="77">
        <v>8</v>
      </c>
      <c r="Y13" s="98">
        <f>AV12</f>
        <v>54</v>
      </c>
      <c r="Z13" s="77" t="s">
        <v>208</v>
      </c>
      <c r="AA13" s="77">
        <v>1398</v>
      </c>
      <c r="AB13" s="77" t="str">
        <f>IF(AA13&lt;60,"1",IF(AA13&lt;=43200,"2",IF(AA13&lt;=777600,"3","4")))</f>
        <v>2</v>
      </c>
      <c r="AC13" s="100">
        <f>AVERAGE(AV12:DA12)</f>
        <v>378.375</v>
      </c>
      <c r="AD13" s="77" t="str">
        <f>IF(AC13&lt;60,"1",IF(AC13&lt;=43200,"2",IF(AC13&lt;=777600,"3","4")))</f>
        <v>2</v>
      </c>
      <c r="AE13" s="98">
        <f>AA13-Y13</f>
        <v>1344</v>
      </c>
      <c r="AF13" s="99">
        <f>AV13</f>
        <v>4.07</v>
      </c>
      <c r="AG13" s="100">
        <f>((AW13-AV13)+(AX13-AW13)+(AY13-AX13)+(AZ13-AY13)+(BA13-AZ13)+(BB13-BA13)+(BC13-BB13))/7</f>
        <v>-0.18714285714285722</v>
      </c>
      <c r="AH13" s="84"/>
      <c r="AI13" s="100">
        <f>RSQ(AV13:BC13,AV12:BC12)</f>
        <v>0.44594809465621454</v>
      </c>
      <c r="AJ13" s="105">
        <f>SLOPE(AV13:BC13,AV12:BC12)</f>
        <v>-8.3571065375875745E-4</v>
      </c>
      <c r="AK13" s="100">
        <f>INTERCEPT(AV13:BC13,AV12:BC12)</f>
        <v>3.5912120186159702</v>
      </c>
      <c r="AL13" s="100">
        <f>INDEX(LINEST(LN(AV13:BC13),LN(AV12:BC12),TRUE,TRUE),3,1)</f>
        <v>0.78317801040679513</v>
      </c>
      <c r="AM13" s="100">
        <f>INDEX(LINEST(LN(AV13:BC13),LN(AV12:BC12)),1)</f>
        <v>-0.13662508109794766</v>
      </c>
      <c r="AN13" s="100">
        <f>EXP(INDEX(LINEST(LN(AV13:BC13),LN(AV12:BC12)),1,2))</f>
        <v>6.7163055221887618</v>
      </c>
      <c r="AO13" s="104">
        <f>INDEX(LINEST((AV13:BC13),LN(AV12:BC12),TRUE,TRUE),3,1)</f>
        <v>0.76439374076565869</v>
      </c>
      <c r="AP13" s="104">
        <f>INDEX(LINEST((AV13:BC13),LN(AV12:BC12)),1)</f>
        <v>-0.44866473393314893</v>
      </c>
      <c r="AQ13" s="48">
        <f>INDEX(LINEST(LN(AV13:BC13),SQRT(AV12:BC12),TRUE,TRUE),3,1)</f>
        <v>0.62987368626171492</v>
      </c>
      <c r="AR13" s="56">
        <f>INDEX(LINEST(LN(AV13:BC13),SQRT((AV12:BC12))),1)</f>
        <v>-1.3353761710554114E-2</v>
      </c>
      <c r="AS13" s="49">
        <f>INDEX(LINEST(1/(AV13:BC13),1/(SQRT(AV12:BC12)),TRUE,TRUE),3,1)</f>
        <v>0.85416226711804555</v>
      </c>
      <c r="AT13" s="49">
        <f>INDEX(LINEST(1/(AV13:BC13),1/SQRT(AV12:BC12)),1)</f>
        <v>-1.2919050763565958</v>
      </c>
      <c r="AU13" s="63"/>
      <c r="AV13" s="65">
        <v>4.07</v>
      </c>
      <c r="AW13" s="65">
        <v>4.12</v>
      </c>
      <c r="AX13" s="65">
        <v>3.46</v>
      </c>
      <c r="AY13" s="65">
        <v>3</v>
      </c>
      <c r="AZ13" s="65">
        <v>3.27</v>
      </c>
      <c r="BA13" s="65">
        <v>2.99</v>
      </c>
      <c r="BB13" s="65">
        <v>2.5299999999999998</v>
      </c>
      <c r="BC13" s="65">
        <v>2.76</v>
      </c>
      <c r="BD13" s="65"/>
      <c r="BE13" s="65"/>
      <c r="BF13" s="65"/>
      <c r="BG13" s="65"/>
      <c r="BH13" s="65"/>
      <c r="BI13" s="65"/>
      <c r="BJ13" s="65"/>
      <c r="BK13" s="65"/>
      <c r="BL13" s="61"/>
      <c r="BM13" s="61"/>
      <c r="BN13" s="61"/>
      <c r="BO13" s="61"/>
      <c r="BP13" s="61"/>
      <c r="BQ13" s="61"/>
      <c r="BR13" s="61"/>
      <c r="BS13" s="61"/>
      <c r="BT13" s="61"/>
      <c r="BU13" s="61"/>
      <c r="BV13" s="61"/>
      <c r="BW13" s="61"/>
      <c r="BX13" s="61"/>
      <c r="BY13" s="61"/>
      <c r="BZ13" s="61"/>
      <c r="CA13" s="61"/>
      <c r="CB13" s="61"/>
      <c r="CC13" s="61"/>
      <c r="CD13" s="61"/>
      <c r="CE13" s="61"/>
      <c r="CF13" s="61"/>
      <c r="CG13" s="61"/>
      <c r="CH13" s="61"/>
      <c r="CI13" s="61"/>
      <c r="CJ13" s="61"/>
      <c r="CK13" s="61"/>
      <c r="CL13" s="61"/>
      <c r="CM13" s="61"/>
      <c r="CN13" s="61"/>
      <c r="CO13" s="61"/>
      <c r="CP13" s="61"/>
      <c r="CQ13" s="61"/>
      <c r="CR13" s="59"/>
      <c r="CS13" s="59"/>
      <c r="CT13" s="59"/>
      <c r="CU13" s="59"/>
    </row>
    <row r="14" spans="1:99" s="60" customFormat="1" ht="12" customHeight="1" x14ac:dyDescent="0.2">
      <c r="A14" s="94">
        <v>43509</v>
      </c>
      <c r="B14" s="101"/>
      <c r="C14" s="101"/>
      <c r="D14" s="77"/>
      <c r="E14" s="98"/>
      <c r="F14" s="77"/>
      <c r="G14" s="77"/>
      <c r="H14" s="77"/>
      <c r="I14" s="77"/>
      <c r="J14" s="77"/>
      <c r="K14" s="102"/>
      <c r="L14" s="102"/>
      <c r="M14" s="77"/>
      <c r="N14" s="77"/>
      <c r="O14" s="77"/>
      <c r="P14" s="77"/>
      <c r="Q14" s="77"/>
      <c r="R14" s="77"/>
      <c r="S14" s="77"/>
      <c r="T14" s="96"/>
      <c r="U14" s="32"/>
      <c r="V14" s="77"/>
      <c r="W14" s="77"/>
      <c r="X14" s="77"/>
      <c r="Y14" s="98"/>
      <c r="Z14" s="77"/>
      <c r="AA14" s="77"/>
      <c r="AB14" s="77"/>
      <c r="AC14" s="77"/>
      <c r="AD14" s="77"/>
      <c r="AE14" s="77"/>
      <c r="AF14" s="99"/>
      <c r="AG14" s="100"/>
      <c r="AH14" s="84"/>
      <c r="AI14" s="100"/>
      <c r="AJ14" s="105"/>
      <c r="AK14" s="100"/>
      <c r="AL14" s="100"/>
      <c r="AM14" s="100"/>
      <c r="AN14" s="100"/>
      <c r="AO14" s="100"/>
      <c r="AP14" s="100"/>
      <c r="AQ14" s="104"/>
      <c r="AR14" s="106"/>
      <c r="AS14" s="104"/>
      <c r="AT14" s="104"/>
      <c r="AU14" s="62"/>
      <c r="AV14" s="64">
        <f>60*0.9</f>
        <v>54</v>
      </c>
      <c r="AW14" s="64">
        <f>60*1.2</f>
        <v>72</v>
      </c>
      <c r="AX14" s="64">
        <f>60*1.75</f>
        <v>105</v>
      </c>
      <c r="AY14" s="64">
        <f>60*2.3</f>
        <v>138</v>
      </c>
      <c r="AZ14" s="64">
        <f>60*3.5</f>
        <v>210</v>
      </c>
      <c r="BA14" s="64">
        <f>60*5.8</f>
        <v>348</v>
      </c>
      <c r="BB14" s="64">
        <f>60*11.7</f>
        <v>702</v>
      </c>
      <c r="BC14" s="64">
        <f>60*23.3</f>
        <v>1398</v>
      </c>
      <c r="BD14" s="65"/>
      <c r="BE14" s="65"/>
      <c r="BF14" s="65"/>
      <c r="BG14" s="65"/>
      <c r="BH14" s="65"/>
      <c r="BI14" s="65"/>
      <c r="BJ14" s="65"/>
      <c r="BK14" s="65"/>
      <c r="BL14" s="61"/>
      <c r="BM14" s="61"/>
      <c r="BN14" s="61"/>
      <c r="BO14" s="61"/>
      <c r="BP14" s="61"/>
      <c r="BQ14" s="61"/>
      <c r="BR14" s="61"/>
      <c r="BS14" s="61"/>
      <c r="BT14" s="61"/>
      <c r="BU14" s="61"/>
      <c r="BV14" s="61"/>
      <c r="BW14" s="61"/>
      <c r="BX14" s="61"/>
      <c r="BY14" s="61"/>
      <c r="BZ14" s="61"/>
      <c r="CA14" s="61"/>
      <c r="CB14" s="61"/>
      <c r="CC14" s="61"/>
      <c r="CD14" s="61"/>
      <c r="CE14" s="61"/>
      <c r="CF14" s="61"/>
      <c r="CG14" s="61"/>
      <c r="CH14" s="61"/>
      <c r="CI14" s="61"/>
      <c r="CJ14" s="61"/>
      <c r="CK14" s="61"/>
      <c r="CL14" s="61"/>
      <c r="CM14" s="61"/>
      <c r="CN14" s="61"/>
      <c r="CO14" s="61"/>
      <c r="CP14" s="61"/>
      <c r="CQ14" s="61"/>
      <c r="CR14" s="59"/>
      <c r="CS14" s="59"/>
      <c r="CT14" s="59"/>
      <c r="CU14" s="59"/>
    </row>
    <row r="15" spans="1:99" s="60" customFormat="1" ht="12" customHeight="1" x14ac:dyDescent="0.2">
      <c r="A15" s="94">
        <v>43509</v>
      </c>
      <c r="B15" s="101" t="s">
        <v>203</v>
      </c>
      <c r="C15" s="101" t="s">
        <v>204</v>
      </c>
      <c r="D15" s="77">
        <v>1972</v>
      </c>
      <c r="E15" s="98">
        <v>1</v>
      </c>
      <c r="F15" s="77">
        <v>17</v>
      </c>
      <c r="G15" s="77">
        <v>17</v>
      </c>
      <c r="H15" s="77" t="s">
        <v>16</v>
      </c>
      <c r="I15" s="77" t="s">
        <v>211</v>
      </c>
      <c r="J15" s="77" t="s">
        <v>12</v>
      </c>
      <c r="K15" s="77" t="str">
        <f>IF(J15="syllables","1",IF(J15="trigrams","2",IF(J15="strings","3",IF(J15="visual array","4",IF(J15="characters","5",IF(J15="letters","6",IF(J15="free forms","7",IF(J15="odors","8",IF(J15="words","9",IF(J15="pictures","10",IF(J15="object pictures","11",IF(J15="faces","12",IF(J15="names","13",IF(J15="idioms","14",IF(J15="grades","15",IF(J15="syllable-digit pairs","16",IF(J15="trigram-word pairs","17",IF(J15="word-digit pairs","18",IF(J15="English-Swahili pairs","19",IF(J15="spatial position","20",IF(J15="word pairs","21",IF(J15="word triads","22",IF(J15="generated words","23",IF(J15="word definition pairs","24",IF(J15="math problems","25",IF(J15="famous faces","26",IF(J15="famous names","27",IF(J15="famous voices","28",IF(J15="television programs","29",IF(J15="race horses","30",IF(J15="new vocabulary","31",IF(J15="sentences","32",IF(J15="concepts","33",IF(J15="ad slides","34",IF(J15="scenes","35",IF(J15="famous scenes","36",IF(J15="poems","37",IF(J15="walk","38",IF(J15="faces and events","39",IF(J15="events and names","40",IF(J15="flashbulb","41",IF(J15="stories","42",IF(J15="course material","43",IF(J15="autobiographical","44",IF(J15="novels","45",IF(J15="public events","46",IF(J15="order","90","99")))))))))))))))))))))))))))))))))))))))))))))))</f>
        <v>9</v>
      </c>
      <c r="L15" s="77" t="str">
        <f>IF(J15="syllables","1",IF(J15="trigrams","1",IF(J15="strings","1",IF(J15="visual array","1",IF(J15="characters","1",IF(J15="letters","1",IF(J15="free forms","1",IF(J15="odors","2",IF(J15="words","2",IF(J15="pictures","2",IF(J15="object pictures","2",IF(J15="faces","2",IF(J15="names","2",IF(J15="idioms","2",IF(J15="grades","2",IF(J15="syllable-digit pairs","3",IF(J15="trigram-word pairs","3",IF(J15="word-digit pairs","3",IF(J15="English-Swahili pairs","3",IF(J15="spatial position","3",IF(J15="word pairs","4",IF(J15="word triads","4",IF(J15="generated words","4",IF(J15="word definition pairs","4",IF(J15="math problems","4",IF(J15="famous faces","4",IF(J15="famous names","4",IF(J15="famous voices","4",IF(J15="television programs","4",IF(J15="race horses","4",IF(J15="new vocabulary","4",IF(J15="sentences","5",IF(J15="concepts","5",IF(J15="ad slides","5",IF(J15="scenes","5",IF(J15="famous scenes","5",IF(J15="poems","6",IF(J15="walk","6",IF(J15="faces and events","6",IF(J15="events and names","6",IF(J15="flashbulb","7",IF(J15="stories","7",IF(J15="course material","7",IF(J15="autobiographical","7",IF(J15="novels","7",IF(J15="public events","7",IF(J15="order","90","99")))))))))))))))))))))))))))))))))))))))))))))))</f>
        <v>2</v>
      </c>
      <c r="M15" s="77" t="s">
        <v>195</v>
      </c>
      <c r="N15" s="77">
        <v>1</v>
      </c>
      <c r="O15" s="77" t="s">
        <v>195</v>
      </c>
      <c r="P15" s="77"/>
      <c r="Q15" s="77" t="s">
        <v>18</v>
      </c>
      <c r="R15" s="77" t="str">
        <f>IF(Q15="Free Recall","1",IF(Q15="Cued Recall","2",IF(Q15="Recognition","3",IF(Q15="Multiple Choice","4",IF(Q15="Savings","5",IF(Q15="Stem Completion","6",IF(Q15="Fragment Completion","7",IF(Q15="anagram solution","8",IF(Q15="Matching","9",IF(Q15="Problem Solving","10","99"))))))))))</f>
        <v>3</v>
      </c>
      <c r="S15" s="77" t="s">
        <v>196</v>
      </c>
      <c r="T15" s="96" t="s">
        <v>132</v>
      </c>
      <c r="U15" s="32">
        <f>IF(T15="within",1,0)</f>
        <v>1</v>
      </c>
      <c r="V15" s="96">
        <v>400</v>
      </c>
      <c r="W15" s="77">
        <f>F15*V15</f>
        <v>6800</v>
      </c>
      <c r="X15" s="77">
        <v>8</v>
      </c>
      <c r="Y15" s="98">
        <f>AV14</f>
        <v>54</v>
      </c>
      <c r="Z15" s="77" t="s">
        <v>208</v>
      </c>
      <c r="AA15" s="77">
        <v>1398</v>
      </c>
      <c r="AB15" s="77" t="str">
        <f>IF(AA15&lt;60,"1",IF(AA15&lt;=43200,"2",IF(AA15&lt;=777600,"3","4")))</f>
        <v>2</v>
      </c>
      <c r="AC15" s="100">
        <f>AVERAGE(AV14:DA14)</f>
        <v>378.375</v>
      </c>
      <c r="AD15" s="77" t="str">
        <f>IF(AC15&lt;60,"1",IF(AC15&lt;=43200,"2",IF(AC15&lt;=777600,"3","4")))</f>
        <v>2</v>
      </c>
      <c r="AE15" s="98">
        <f>AA15-Y15</f>
        <v>1344</v>
      </c>
      <c r="AF15" s="99">
        <f>AV15</f>
        <v>3.24</v>
      </c>
      <c r="AG15" s="100">
        <f>((AW15-AV15)+(AX15-AW15)+(AY15-AX15)+(AZ15-AY15)+(BA15-AZ15)+(BB15-BA15)+(BC15-BB15))/7</f>
        <v>-0.19714285714285715</v>
      </c>
      <c r="AH15" s="84"/>
      <c r="AI15" s="100">
        <f>RSQ(AV15:BC15,AV14:BC14)</f>
        <v>0.64078165454001634</v>
      </c>
      <c r="AJ15" s="105">
        <f>SLOPE(AV15:BC15,AV14:BC14)</f>
        <v>-9.5057191465911699E-4</v>
      </c>
      <c r="AK15" s="100">
        <f>INTERCEPT(AV15:BC15,AV14:BC14)</f>
        <v>2.9659226482091436</v>
      </c>
      <c r="AL15" s="100">
        <f>INDEX(LINEST(LN(AV15:BC15),LN(AV14:BC14),TRUE,TRUE),3,1)</f>
        <v>0.83846799224343505</v>
      </c>
      <c r="AM15" s="100">
        <f>INDEX(LINEST(LN(AV15:BC15),LN(AV14:BC14)),1)</f>
        <v>-0.17541803033396614</v>
      </c>
      <c r="AN15" s="100">
        <f>EXP(INDEX(LINEST(LN(AV15:BC15),LN(AV14:BC14)),1,2))</f>
        <v>6.5349191390091343</v>
      </c>
      <c r="AO15" s="104">
        <f>INDEX(LINEST((AV15:BC15),LN(AV14:BC14),TRUE,TRUE),3,1)</f>
        <v>0.80025652434896766</v>
      </c>
      <c r="AP15" s="104">
        <f>INDEX(LINEST((AV15:BC15),LN(AV14:BC14)),1)</f>
        <v>-0.43560629442134008</v>
      </c>
      <c r="AQ15" s="48">
        <f>INDEX(LINEST(LN(AV15:BC15),SQRT(AV14:BC14),TRUE,TRUE),3,1)</f>
        <v>0.80218822270644152</v>
      </c>
      <c r="AR15" s="56">
        <f>INDEX(LINEST(LN(AV15:BC15),SQRT((AV14:BC14))),1)</f>
        <v>-1.8700181689598066E-2</v>
      </c>
      <c r="AS15" s="49">
        <f>INDEX(LINEST(1/(AV15:BC15),1/(SQRT(AV14:BC14)),TRUE,TRUE),3,1)</f>
        <v>0.78650211228624489</v>
      </c>
      <c r="AT15" s="49">
        <f>INDEX(LINEST(1/(AV15:BC15),1/SQRT(AV14:BC14)),1)</f>
        <v>-2.026346775647486</v>
      </c>
      <c r="AU15" s="63"/>
      <c r="AV15" s="65">
        <v>3.24</v>
      </c>
      <c r="AW15" s="65">
        <v>2.88</v>
      </c>
      <c r="AX15" s="65">
        <v>3.34</v>
      </c>
      <c r="AY15" s="65">
        <v>2.4300000000000002</v>
      </c>
      <c r="AZ15" s="65">
        <v>2.82</v>
      </c>
      <c r="BA15" s="65">
        <v>2.2799999999999998</v>
      </c>
      <c r="BB15" s="65">
        <v>2</v>
      </c>
      <c r="BC15" s="65">
        <v>1.86</v>
      </c>
      <c r="BD15" s="65"/>
      <c r="BE15" s="65"/>
      <c r="BF15" s="65"/>
      <c r="BG15" s="65"/>
      <c r="BH15" s="65"/>
      <c r="BI15" s="65"/>
      <c r="BJ15" s="65"/>
      <c r="BK15" s="65"/>
      <c r="BL15" s="61"/>
      <c r="BM15" s="61"/>
      <c r="BN15" s="61"/>
      <c r="BO15" s="61"/>
      <c r="BP15" s="61"/>
      <c r="BQ15" s="61"/>
      <c r="BR15" s="61"/>
      <c r="BS15" s="61"/>
      <c r="BT15" s="61"/>
      <c r="BU15" s="61"/>
      <c r="BV15" s="61"/>
      <c r="BW15" s="61"/>
      <c r="BX15" s="61"/>
      <c r="BY15" s="61"/>
      <c r="BZ15" s="61"/>
      <c r="CA15" s="61"/>
      <c r="CB15" s="61"/>
      <c r="CC15" s="61"/>
      <c r="CD15" s="61"/>
      <c r="CE15" s="61"/>
      <c r="CF15" s="61"/>
      <c r="CG15" s="61"/>
      <c r="CH15" s="61"/>
      <c r="CI15" s="61"/>
      <c r="CJ15" s="61"/>
      <c r="CK15" s="61"/>
      <c r="CL15" s="61"/>
      <c r="CM15" s="61"/>
      <c r="CN15" s="61"/>
      <c r="CO15" s="61"/>
      <c r="CP15" s="61"/>
      <c r="CQ15" s="61"/>
      <c r="CR15" s="59"/>
      <c r="CS15" s="59"/>
      <c r="CT15" s="59"/>
      <c r="CU15" s="59"/>
    </row>
    <row r="16" spans="1:99" s="60" customFormat="1" ht="12" customHeight="1" x14ac:dyDescent="0.2">
      <c r="A16" s="94">
        <v>43509</v>
      </c>
      <c r="B16" s="101"/>
      <c r="C16" s="101"/>
      <c r="D16" s="77"/>
      <c r="E16" s="98"/>
      <c r="F16" s="77"/>
      <c r="G16" s="77"/>
      <c r="H16" s="77"/>
      <c r="I16" s="77"/>
      <c r="J16" s="77"/>
      <c r="K16" s="102"/>
      <c r="L16" s="102"/>
      <c r="M16" s="77"/>
      <c r="N16" s="77"/>
      <c r="O16" s="77"/>
      <c r="P16" s="77"/>
      <c r="Q16" s="77"/>
      <c r="R16" s="77"/>
      <c r="S16" s="77"/>
      <c r="T16" s="96"/>
      <c r="U16" s="32"/>
      <c r="V16" s="77"/>
      <c r="W16" s="77"/>
      <c r="X16" s="77"/>
      <c r="Y16" s="98"/>
      <c r="Z16" s="77"/>
      <c r="AA16" s="77"/>
      <c r="AB16" s="77"/>
      <c r="AC16" s="77"/>
      <c r="AD16" s="77"/>
      <c r="AE16" s="77"/>
      <c r="AF16" s="99"/>
      <c r="AG16" s="100"/>
      <c r="AH16" s="84"/>
      <c r="AI16" s="100"/>
      <c r="AJ16" s="105"/>
      <c r="AK16" s="100"/>
      <c r="AL16" s="100"/>
      <c r="AM16" s="100"/>
      <c r="AN16" s="100"/>
      <c r="AO16" s="100"/>
      <c r="AP16" s="100"/>
      <c r="AQ16" s="100"/>
      <c r="AR16" s="105"/>
      <c r="AS16" s="100"/>
      <c r="AT16" s="100"/>
      <c r="AU16" s="62"/>
      <c r="AV16" s="64">
        <f>3600*0.08</f>
        <v>288</v>
      </c>
      <c r="AW16" s="64">
        <f>3600*0.17</f>
        <v>612</v>
      </c>
      <c r="AX16" s="64">
        <f>3600*0.25</f>
        <v>900</v>
      </c>
      <c r="AY16" s="64">
        <f>3600*0.33</f>
        <v>1188</v>
      </c>
      <c r="AZ16" s="64">
        <f>3600*0.5</f>
        <v>1800</v>
      </c>
      <c r="BA16" s="64">
        <f>3600*1</f>
        <v>3600</v>
      </c>
      <c r="BB16" s="64">
        <f>3600*2</f>
        <v>7200</v>
      </c>
      <c r="BC16" s="64">
        <f>3600*3</f>
        <v>10800</v>
      </c>
      <c r="BD16" s="64">
        <f>3600*4</f>
        <v>14400</v>
      </c>
      <c r="BE16" s="64">
        <f>3600*5</f>
        <v>18000</v>
      </c>
      <c r="BF16" s="64">
        <f>3600*6</f>
        <v>21600</v>
      </c>
      <c r="BG16" s="64">
        <f>3600*7</f>
        <v>25200</v>
      </c>
      <c r="BH16" s="65"/>
      <c r="BI16" s="65"/>
      <c r="BJ16" s="65"/>
      <c r="BK16" s="65"/>
      <c r="BL16" s="61"/>
      <c r="BM16" s="61"/>
      <c r="BN16" s="61"/>
      <c r="BO16" s="61"/>
      <c r="BP16" s="61"/>
      <c r="BQ16" s="61"/>
      <c r="BR16" s="61"/>
      <c r="BS16" s="61"/>
      <c r="BT16" s="61"/>
      <c r="BU16" s="61"/>
      <c r="BV16" s="61"/>
      <c r="BW16" s="61"/>
      <c r="BX16" s="61"/>
      <c r="BY16" s="61"/>
      <c r="BZ16" s="61"/>
      <c r="CA16" s="61"/>
      <c r="CB16" s="61"/>
      <c r="CC16" s="61"/>
      <c r="CD16" s="61"/>
      <c r="CE16" s="61"/>
      <c r="CF16" s="61"/>
      <c r="CG16" s="61"/>
      <c r="CH16" s="61"/>
      <c r="CI16" s="61"/>
      <c r="CJ16" s="61"/>
      <c r="CK16" s="61"/>
      <c r="CL16" s="61"/>
      <c r="CM16" s="61"/>
      <c r="CN16" s="61"/>
      <c r="CO16" s="61"/>
      <c r="CP16" s="61"/>
      <c r="CQ16" s="61"/>
      <c r="CR16" s="59"/>
      <c r="CS16" s="59"/>
      <c r="CT16" s="59"/>
      <c r="CU16" s="59"/>
    </row>
    <row r="17" spans="1:99" s="60" customFormat="1" ht="12" customHeight="1" x14ac:dyDescent="0.2">
      <c r="A17" s="94">
        <v>43509</v>
      </c>
      <c r="B17" s="101" t="s">
        <v>203</v>
      </c>
      <c r="C17" s="101" t="s">
        <v>204</v>
      </c>
      <c r="D17" s="77">
        <v>1972</v>
      </c>
      <c r="E17" s="98">
        <v>1</v>
      </c>
      <c r="F17" s="77">
        <v>6</v>
      </c>
      <c r="G17" s="77">
        <v>6</v>
      </c>
      <c r="H17" s="77" t="s">
        <v>13</v>
      </c>
      <c r="I17" s="77" t="s">
        <v>220</v>
      </c>
      <c r="J17" s="77" t="s">
        <v>12</v>
      </c>
      <c r="K17" s="77" t="str">
        <f>IF(J17="syllables","1",IF(J17="trigrams","2",IF(J17="strings","3",IF(J17="visual array","4",IF(J17="characters","5",IF(J17="letters","6",IF(J17="free forms","7",IF(J17="odors","8",IF(J17="words","9",IF(J17="pictures","10",IF(J17="object pictures","11",IF(J17="faces","12",IF(J17="names","13",IF(J17="idioms","14",IF(J17="grades","15",IF(J17="syllable-digit pairs","16",IF(J17="trigram-word pairs","17",IF(J17="word-digit pairs","18",IF(J17="English-Swahili pairs","19",IF(J17="spatial position","20",IF(J17="word pairs","21",IF(J17="word triads","22",IF(J17="generated words","23",IF(J17="word definition pairs","24",IF(J17="math problems","25",IF(J17="famous faces","26",IF(J17="famous names","27",IF(J17="famous voices","28",IF(J17="television programs","29",IF(J17="race horses","30",IF(J17="new vocabulary","31",IF(J17="sentences","32",IF(J17="concepts","33",IF(J17="ad slides","34",IF(J17="scenes","35",IF(J17="famous scenes","36",IF(J17="poems","37",IF(J17="walk","38",IF(J17="faces and events","39",IF(J17="events and names","40",IF(J17="flashbulb","41",IF(J17="stories","42",IF(J17="course material","43",IF(J17="autobiographical","44",IF(J17="novels","45",IF(J17="public events","46",IF(J17="order","90","99")))))))))))))))))))))))))))))))))))))))))))))))</f>
        <v>9</v>
      </c>
      <c r="L17" s="77" t="str">
        <f>IF(J17="syllables","1",IF(J17="trigrams","1",IF(J17="strings","1",IF(J17="visual array","1",IF(J17="characters","1",IF(J17="letters","1",IF(J17="free forms","1",IF(J17="odors","2",IF(J17="words","2",IF(J17="pictures","2",IF(J17="object pictures","2",IF(J17="faces","2",IF(J17="names","2",IF(J17="idioms","2",IF(J17="grades","2",IF(J17="syllable-digit pairs","3",IF(J17="trigram-word pairs","3",IF(J17="word-digit pairs","3",IF(J17="English-Swahili pairs","3",IF(J17="spatial position","3",IF(J17="word pairs","4",IF(J17="word triads","4",IF(J17="generated words","4",IF(J17="word definition pairs","4",IF(J17="math problems","4",IF(J17="famous faces","4",IF(J17="famous names","4",IF(J17="famous voices","4",IF(J17="television programs","4",IF(J17="race horses","4",IF(J17="new vocabulary","4",IF(J17="sentences","5",IF(J17="concepts","5",IF(J17="ad slides","5",IF(J17="scenes","5",IF(J17="famous scenes","5",IF(J17="poems","6",IF(J17="walk","6",IF(J17="faces and events","6",IF(J17="events and names","6",IF(J17="flashbulb","7",IF(J17="stories","7",IF(J17="course material","7",IF(J17="autobiographical","7",IF(J17="novels","7",IF(J17="public events","7",IF(J17="order","90","99")))))))))))))))))))))))))))))))))))))))))))))))</f>
        <v>2</v>
      </c>
      <c r="M17" s="77" t="s">
        <v>195</v>
      </c>
      <c r="N17" s="77">
        <v>1</v>
      </c>
      <c r="O17" s="77" t="s">
        <v>195</v>
      </c>
      <c r="P17" s="77"/>
      <c r="Q17" s="77" t="s">
        <v>18</v>
      </c>
      <c r="R17" s="77" t="str">
        <f>IF(Q17="Free Recall","1",IF(Q17="Cued Recall","2",IF(Q17="Recognition","3",IF(Q17="Multiple Choice","4",IF(Q17="Savings","5",IF(Q17="Stem Completion","6",IF(Q17="Fragment Completion","7",IF(Q17="anagram solution","8",IF(Q17="Matching","9",IF(Q17="Problem Solving","10","99"))))))))))</f>
        <v>3</v>
      </c>
      <c r="S17" s="77" t="s">
        <v>196</v>
      </c>
      <c r="T17" s="96" t="s">
        <v>132</v>
      </c>
      <c r="U17" s="32">
        <f>IF(T17="within",1,0)</f>
        <v>1</v>
      </c>
      <c r="V17" s="96">
        <v>400</v>
      </c>
      <c r="W17" s="77">
        <f>F17*V17</f>
        <v>2400</v>
      </c>
      <c r="X17" s="77">
        <v>12</v>
      </c>
      <c r="Y17" s="98">
        <f>AV16</f>
        <v>288</v>
      </c>
      <c r="Z17" s="77" t="s">
        <v>221</v>
      </c>
      <c r="AA17" s="77">
        <v>25200</v>
      </c>
      <c r="AB17" s="77" t="str">
        <f>IF(AA17&lt;60,"1",IF(AA17&lt;=43200,"2",IF(AA17&lt;=777600,"3","4")))</f>
        <v>2</v>
      </c>
      <c r="AC17" s="100">
        <f>AVERAGE(AV16:DA16)</f>
        <v>8799</v>
      </c>
      <c r="AD17" s="77" t="str">
        <f>IF(AC17&lt;60,"1",IF(AC17&lt;=43200,"2",IF(AC17&lt;=777600,"3","4")))</f>
        <v>2</v>
      </c>
      <c r="AE17" s="98">
        <f>AA17-Y17</f>
        <v>24912</v>
      </c>
      <c r="AF17" s="99">
        <f>AV17</f>
        <v>4.1500000000000004</v>
      </c>
      <c r="AG17" s="100">
        <f>((AW17-AV17)+(AX17-AW17)+(AY17-AX17)+(AZ17-AY17)+(BA17-AZ17)+(BB17-BA17)+(BC17-BB17)+(BD17-BC17)+(BE17-BD17)+(BF17-BE17)+(BG17-BF17))/11</f>
        <v>-0.17727272727272728</v>
      </c>
      <c r="AH17" s="84"/>
      <c r="AI17" s="100">
        <f>RSQ(AV17:BG17,AV16:BG16)</f>
        <v>0.77700208396550474</v>
      </c>
      <c r="AJ17" s="105">
        <f>SLOPE(AV17:BG17,AV16:BG16)</f>
        <v>-7.0220632365315401E-5</v>
      </c>
      <c r="AK17" s="100">
        <f>INTERCEPT(AV17:BG17,AV16:BG16)</f>
        <v>3.7895380108490775</v>
      </c>
      <c r="AL17" s="100">
        <f>INDEX(LINEST(LN(AV17:BG17),LN(AV16:BG16),TRUE,TRUE),3,1)</f>
        <v>0.88442018084558227</v>
      </c>
      <c r="AM17" s="100">
        <f>INDEX(LINEST(LN(AV17:BG17),LN(AV16:BG16)),1)</f>
        <v>-0.13785230161429973</v>
      </c>
      <c r="AN17" s="100">
        <f>EXP(INDEX(LINEST(LN(AV17:BG17),LN(AV16:BG16)),1,2))</f>
        <v>9.6947529063913631</v>
      </c>
      <c r="AO17" s="104">
        <f>INDEX(LINEST((AV17:BG17),LN(AV16:BG16),TRUE,TRUE),3,1)</f>
        <v>0.88653087567697975</v>
      </c>
      <c r="AP17" s="104">
        <f>INDEX(LINEST((AV17:BG17),LN(AV16:BG16)),1)</f>
        <v>-0.43699648834611893</v>
      </c>
      <c r="AQ17" s="48">
        <f>INDEX(LINEST(LN(AV17:BG17),SQRT(AV16:BG16),TRUE,TRUE),3,1)</f>
        <v>0.89347765706103699</v>
      </c>
      <c r="AR17" s="56">
        <f>INDEX(LINEST(LN(AV17:BG17),SQRT((AV16:BG16))),1)</f>
        <v>-4.1530086828528833E-3</v>
      </c>
      <c r="AS17" s="49">
        <f>INDEX(LINEST(1/(AV17:BG17),1/(SQRT(AV16:BG16)),TRUE,TRUE),3,1)</f>
        <v>0.70119504635110164</v>
      </c>
      <c r="AT17" s="49">
        <f>INDEX(LINEST(1/(AV17:BG17),1/SQRT(AV16:BG16)),1)</f>
        <v>-3.7460584487743707</v>
      </c>
      <c r="AU17" s="63"/>
      <c r="AV17" s="65">
        <v>4.1500000000000004</v>
      </c>
      <c r="AW17" s="65">
        <v>4.4000000000000004</v>
      </c>
      <c r="AX17" s="65">
        <v>3.39</v>
      </c>
      <c r="AY17" s="65">
        <v>3.6</v>
      </c>
      <c r="AZ17" s="65">
        <v>3.81</v>
      </c>
      <c r="BA17" s="65">
        <v>3.27</v>
      </c>
      <c r="BB17" s="65">
        <v>2.83</v>
      </c>
      <c r="BC17" s="65">
        <v>2.84</v>
      </c>
      <c r="BD17" s="65">
        <v>2.4300000000000002</v>
      </c>
      <c r="BE17" s="65">
        <v>2.79</v>
      </c>
      <c r="BF17" s="65">
        <v>2.35</v>
      </c>
      <c r="BG17" s="65">
        <v>2.2000000000000002</v>
      </c>
      <c r="BH17" s="65"/>
      <c r="BI17" s="65"/>
      <c r="BJ17" s="65"/>
      <c r="BK17" s="65"/>
      <c r="BL17" s="61"/>
      <c r="BM17" s="61"/>
      <c r="BN17" s="61"/>
      <c r="BO17" s="61"/>
      <c r="BP17" s="61"/>
      <c r="BQ17" s="61"/>
      <c r="BR17" s="61"/>
      <c r="BS17" s="61"/>
      <c r="BT17" s="61"/>
      <c r="BU17" s="61"/>
      <c r="BV17" s="61"/>
      <c r="BW17" s="61"/>
      <c r="BX17" s="61"/>
      <c r="BY17" s="61"/>
      <c r="BZ17" s="61"/>
      <c r="CA17" s="61"/>
      <c r="CB17" s="61"/>
      <c r="CC17" s="61"/>
      <c r="CD17" s="61"/>
      <c r="CE17" s="61"/>
      <c r="CF17" s="61"/>
      <c r="CG17" s="61"/>
      <c r="CH17" s="61"/>
      <c r="CI17" s="61"/>
      <c r="CJ17" s="61"/>
      <c r="CK17" s="61"/>
      <c r="CL17" s="61"/>
      <c r="CM17" s="61"/>
      <c r="CN17" s="61"/>
      <c r="CO17" s="61"/>
      <c r="CP17" s="61"/>
      <c r="CQ17" s="61"/>
      <c r="CR17" s="59"/>
      <c r="CS17" s="59"/>
      <c r="CT17" s="59"/>
      <c r="CU17" s="59"/>
    </row>
    <row r="18" spans="1:99" s="60" customFormat="1" ht="12" customHeight="1" x14ac:dyDescent="0.2">
      <c r="A18" s="94">
        <v>43509</v>
      </c>
      <c r="B18" s="101"/>
      <c r="C18" s="101"/>
      <c r="D18" s="77"/>
      <c r="E18" s="98"/>
      <c r="F18" s="77"/>
      <c r="G18" s="77"/>
      <c r="H18" s="77"/>
      <c r="I18" s="77"/>
      <c r="J18" s="77"/>
      <c r="K18" s="102"/>
      <c r="L18" s="102"/>
      <c r="M18" s="77"/>
      <c r="N18" s="77"/>
      <c r="O18" s="77"/>
      <c r="P18" s="77"/>
      <c r="Q18" s="77"/>
      <c r="R18" s="77"/>
      <c r="S18" s="77"/>
      <c r="T18" s="96"/>
      <c r="U18" s="32"/>
      <c r="V18" s="77"/>
      <c r="W18" s="77"/>
      <c r="X18" s="77"/>
      <c r="Y18" s="98"/>
      <c r="Z18" s="77"/>
      <c r="AA18" s="77"/>
      <c r="AB18" s="77"/>
      <c r="AC18" s="77"/>
      <c r="AD18" s="77"/>
      <c r="AE18" s="77"/>
      <c r="AF18" s="99"/>
      <c r="AG18" s="100"/>
      <c r="AH18" s="84"/>
      <c r="AI18" s="100"/>
      <c r="AJ18" s="105"/>
      <c r="AK18" s="100"/>
      <c r="AL18" s="100"/>
      <c r="AM18" s="100"/>
      <c r="AN18" s="100"/>
      <c r="AO18" s="100"/>
      <c r="AP18" s="100"/>
      <c r="AQ18" s="100"/>
      <c r="AR18" s="105"/>
      <c r="AS18" s="100"/>
      <c r="AT18" s="100"/>
      <c r="AU18" s="62"/>
      <c r="AV18" s="64">
        <f>3600*0.08</f>
        <v>288</v>
      </c>
      <c r="AW18" s="64">
        <f>3600*0.17</f>
        <v>612</v>
      </c>
      <c r="AX18" s="64">
        <f>3600*0.25</f>
        <v>900</v>
      </c>
      <c r="AY18" s="64">
        <f>3600*0.33</f>
        <v>1188</v>
      </c>
      <c r="AZ18" s="64">
        <f>3600*0.5</f>
        <v>1800</v>
      </c>
      <c r="BA18" s="64">
        <f>3600*1</f>
        <v>3600</v>
      </c>
      <c r="BB18" s="64">
        <f>3600*2</f>
        <v>7200</v>
      </c>
      <c r="BC18" s="64">
        <f>3600*3</f>
        <v>10800</v>
      </c>
      <c r="BD18" s="64">
        <f>3600*4</f>
        <v>14400</v>
      </c>
      <c r="BE18" s="64">
        <f>3600*5</f>
        <v>18000</v>
      </c>
      <c r="BF18" s="64">
        <f>3600*6</f>
        <v>21600</v>
      </c>
      <c r="BG18" s="64">
        <f>3600*7</f>
        <v>25200</v>
      </c>
      <c r="BH18" s="65"/>
      <c r="BI18" s="65"/>
      <c r="BJ18" s="65"/>
      <c r="BK18" s="65"/>
      <c r="BL18" s="61"/>
      <c r="BM18" s="61"/>
      <c r="BN18" s="61"/>
      <c r="BO18" s="61"/>
      <c r="BP18" s="61"/>
      <c r="BQ18" s="61"/>
      <c r="BR18" s="61"/>
      <c r="BS18" s="61"/>
      <c r="BT18" s="61"/>
      <c r="BU18" s="61"/>
      <c r="BV18" s="61"/>
      <c r="BW18" s="61"/>
      <c r="BX18" s="61"/>
      <c r="BY18" s="61"/>
      <c r="BZ18" s="61"/>
      <c r="CA18" s="61"/>
      <c r="CB18" s="61"/>
      <c r="CC18" s="61"/>
      <c r="CD18" s="61"/>
      <c r="CE18" s="61"/>
      <c r="CF18" s="61"/>
      <c r="CG18" s="61"/>
      <c r="CH18" s="61"/>
      <c r="CI18" s="61"/>
      <c r="CJ18" s="61"/>
      <c r="CK18" s="61"/>
      <c r="CL18" s="61"/>
      <c r="CM18" s="61"/>
      <c r="CN18" s="61"/>
      <c r="CO18" s="61"/>
      <c r="CP18" s="61"/>
      <c r="CQ18" s="61"/>
      <c r="CR18" s="59"/>
      <c r="CS18" s="59"/>
      <c r="CT18" s="59"/>
      <c r="CU18" s="59"/>
    </row>
    <row r="19" spans="1:99" s="60" customFormat="1" ht="12" customHeight="1" x14ac:dyDescent="0.2">
      <c r="A19" s="94">
        <v>43509</v>
      </c>
      <c r="B19" s="101" t="s">
        <v>203</v>
      </c>
      <c r="C19" s="101" t="s">
        <v>204</v>
      </c>
      <c r="D19" s="77">
        <v>1972</v>
      </c>
      <c r="E19" s="98">
        <v>1</v>
      </c>
      <c r="F19" s="77">
        <v>6</v>
      </c>
      <c r="G19" s="77">
        <v>6</v>
      </c>
      <c r="H19" s="77" t="s">
        <v>13</v>
      </c>
      <c r="I19" s="77" t="s">
        <v>222</v>
      </c>
      <c r="J19" s="77" t="s">
        <v>12</v>
      </c>
      <c r="K19" s="77" t="str">
        <f>IF(J19="syllables","1",IF(J19="trigrams","2",IF(J19="strings","3",IF(J19="visual array","4",IF(J19="characters","5",IF(J19="letters","6",IF(J19="free forms","7",IF(J19="odors","8",IF(J19="words","9",IF(J19="pictures","10",IF(J19="object pictures","11",IF(J19="faces","12",IF(J19="names","13",IF(J19="idioms","14",IF(J19="grades","15",IF(J19="syllable-digit pairs","16",IF(J19="trigram-word pairs","17",IF(J19="word-digit pairs","18",IF(J19="English-Swahili pairs","19",IF(J19="spatial position","20",IF(J19="word pairs","21",IF(J19="word triads","22",IF(J19="generated words","23",IF(J19="word definition pairs","24",IF(J19="math problems","25",IF(J19="famous faces","26",IF(J19="famous names","27",IF(J19="famous voices","28",IF(J19="television programs","29",IF(J19="race horses","30",IF(J19="new vocabulary","31",IF(J19="sentences","32",IF(J19="concepts","33",IF(J19="ad slides","34",IF(J19="scenes","35",IF(J19="famous scenes","36",IF(J19="poems","37",IF(J19="walk","38",IF(J19="faces and events","39",IF(J19="events and names","40",IF(J19="flashbulb","41",IF(J19="stories","42",IF(J19="course material","43",IF(J19="autobiographical","44",IF(J19="novels","45",IF(J19="public events","46",IF(J19="order","90","99")))))))))))))))))))))))))))))))))))))))))))))))</f>
        <v>9</v>
      </c>
      <c r="L19" s="77" t="str">
        <f>IF(J19="syllables","1",IF(J19="trigrams","1",IF(J19="strings","1",IF(J19="visual array","1",IF(J19="characters","1",IF(J19="letters","1",IF(J19="free forms","1",IF(J19="odors","2",IF(J19="words","2",IF(J19="pictures","2",IF(J19="object pictures","2",IF(J19="faces","2",IF(J19="names","2",IF(J19="idioms","2",IF(J19="grades","2",IF(J19="syllable-digit pairs","3",IF(J19="trigram-word pairs","3",IF(J19="word-digit pairs","3",IF(J19="English-Swahili pairs","3",IF(J19="spatial position","3",IF(J19="word pairs","4",IF(J19="word triads","4",IF(J19="generated words","4",IF(J19="word definition pairs","4",IF(J19="math problems","4",IF(J19="famous faces","4",IF(J19="famous names","4",IF(J19="famous voices","4",IF(J19="television programs","4",IF(J19="race horses","4",IF(J19="new vocabulary","4",IF(J19="sentences","5",IF(J19="concepts","5",IF(J19="ad slides","5",IF(J19="scenes","5",IF(J19="famous scenes","5",IF(J19="poems","6",IF(J19="walk","6",IF(J19="faces and events","6",IF(J19="events and names","6",IF(J19="flashbulb","7",IF(J19="stories","7",IF(J19="course material","7",IF(J19="autobiographical","7",IF(J19="novels","7",IF(J19="public events","7",IF(J19="order","90","99")))))))))))))))))))))))))))))))))))))))))))))))</f>
        <v>2</v>
      </c>
      <c r="M19" s="77" t="s">
        <v>195</v>
      </c>
      <c r="N19" s="77">
        <v>1</v>
      </c>
      <c r="O19" s="77" t="s">
        <v>195</v>
      </c>
      <c r="P19" s="77"/>
      <c r="Q19" s="77" t="s">
        <v>18</v>
      </c>
      <c r="R19" s="77" t="str">
        <f>IF(Q19="Free Recall","1",IF(Q19="Cued Recall","2",IF(Q19="Recognition","3",IF(Q19="Multiple Choice","4",IF(Q19="Savings","5",IF(Q19="Stem Completion","6",IF(Q19="Fragment Completion","7",IF(Q19="anagram solution","8",IF(Q19="Matching","9",IF(Q19="Problem Solving","10","99"))))))))))</f>
        <v>3</v>
      </c>
      <c r="S19" s="77" t="s">
        <v>196</v>
      </c>
      <c r="T19" s="96" t="s">
        <v>132</v>
      </c>
      <c r="U19" s="32">
        <f>IF(T19="within",1,0)</f>
        <v>1</v>
      </c>
      <c r="V19" s="96">
        <v>400</v>
      </c>
      <c r="W19" s="77">
        <f>F19*V19</f>
        <v>2400</v>
      </c>
      <c r="X19" s="77">
        <v>12</v>
      </c>
      <c r="Y19" s="98">
        <f>AV18</f>
        <v>288</v>
      </c>
      <c r="Z19" s="77" t="s">
        <v>221</v>
      </c>
      <c r="AA19" s="77">
        <v>25200</v>
      </c>
      <c r="AB19" s="77" t="str">
        <f>IF(AA19&lt;60,"1",IF(AA19&lt;=43200,"2",IF(AA19&lt;=777600,"3","4")))</f>
        <v>2</v>
      </c>
      <c r="AC19" s="100">
        <f>AVERAGE(AV18:DA18)</f>
        <v>8799</v>
      </c>
      <c r="AD19" s="77" t="str">
        <f>IF(AC19&lt;60,"1",IF(AC19&lt;=43200,"2",IF(AC19&lt;=777600,"3","4")))</f>
        <v>2</v>
      </c>
      <c r="AE19" s="98">
        <f>AA19-Y19</f>
        <v>24912</v>
      </c>
      <c r="AF19" s="99">
        <f>AV19</f>
        <v>3.55</v>
      </c>
      <c r="AG19" s="100">
        <f>((AW19-AV19)+(AX19-AW19)+(AY19-AX19)+(AZ19-AY19)+(BA19-AZ19)+(BB19-BA19)+(BC19-BB19)+(BD19-BC19)+(BE19-BD19)+(BF19-BE19)+(BG19-BF19))/11</f>
        <v>-0.17909090909090908</v>
      </c>
      <c r="AH19" s="84"/>
      <c r="AI19" s="100">
        <f>RSQ(AV19:BG19,AV18:BG18)</f>
        <v>0.826405956696178</v>
      </c>
      <c r="AJ19" s="105">
        <f>SLOPE(AV19:BG19,AV18:BG18)</f>
        <v>-7.2198932461174019E-5</v>
      </c>
      <c r="AK19" s="100">
        <f>INTERCEPT(AV19:BG19,AV18:BG18)</f>
        <v>3.2002784067258703</v>
      </c>
      <c r="AL19" s="100">
        <f>INDEX(LINEST(LN(AV19:BG19),LN(AV18:BG18),TRUE,TRUE),3,1)</f>
        <v>0.82245982762872427</v>
      </c>
      <c r="AM19" s="100">
        <f>INDEX(LINEST(LN(AV19:BG19),LN(AV18:BG18)),1)</f>
        <v>-0.17390240364693083</v>
      </c>
      <c r="AN19" s="100">
        <f>EXP(INDEX(LINEST(LN(AV19:BG19),LN(AV18:BG18)),1,2))</f>
        <v>10.407444306887632</v>
      </c>
      <c r="AO19" s="104">
        <f>INDEX(LINEST((AV19:BG19),LN(AV18:BG18),TRUE,TRUE),3,1)</f>
        <v>0.86578662624057201</v>
      </c>
      <c r="AP19" s="104">
        <f>INDEX(LINEST((AV19:BG19),LN(AV18:BG18)),1)</f>
        <v>-0.43054332757538399</v>
      </c>
      <c r="AQ19" s="48">
        <f>INDEX(LINEST(LN(AV19:BG19),SQRT(AV18:BG18),TRUE,TRUE),3,1)</f>
        <v>0.87749478814924664</v>
      </c>
      <c r="AR19" s="56">
        <f>INDEX(LINEST(LN(AV19:BG19),SQRT((AV18:BG18))),1)</f>
        <v>-5.3840216986160514E-3</v>
      </c>
      <c r="AS19" s="49">
        <f>INDEX(LINEST(1/(AV19:BG19),1/(SQRT(AV18:BG18)),TRUE,TRUE),3,1)</f>
        <v>0.58187369155488744</v>
      </c>
      <c r="AT19" s="49">
        <f>INDEX(LINEST(1/(AV19:BG19),1/SQRT(AV18:BG18)),1)</f>
        <v>-5.9996481831993043</v>
      </c>
      <c r="AU19" s="63"/>
      <c r="AV19" s="65">
        <v>3.55</v>
      </c>
      <c r="AW19" s="65">
        <v>3.52</v>
      </c>
      <c r="AX19" s="65">
        <v>2.81</v>
      </c>
      <c r="AY19" s="65">
        <v>3.31</v>
      </c>
      <c r="AZ19" s="65">
        <v>2.98</v>
      </c>
      <c r="BA19" s="65">
        <v>2.77</v>
      </c>
      <c r="BB19" s="65">
        <v>2.02</v>
      </c>
      <c r="BC19" s="65">
        <v>2.59</v>
      </c>
      <c r="BD19" s="65">
        <v>2.21</v>
      </c>
      <c r="BE19" s="65">
        <v>1.93</v>
      </c>
      <c r="BF19" s="65">
        <v>1.51</v>
      </c>
      <c r="BG19" s="65">
        <v>1.58</v>
      </c>
      <c r="BH19" s="65"/>
      <c r="BI19" s="65"/>
      <c r="BJ19" s="65"/>
      <c r="BK19" s="65"/>
      <c r="BL19" s="61"/>
      <c r="BM19" s="61"/>
      <c r="BN19" s="61"/>
      <c r="BO19" s="61"/>
      <c r="BP19" s="61"/>
      <c r="BQ19" s="61"/>
      <c r="BR19" s="61"/>
      <c r="BS19" s="61"/>
      <c r="BT19" s="61"/>
      <c r="BU19" s="61"/>
      <c r="BV19" s="61"/>
      <c r="BW19" s="61"/>
      <c r="BX19" s="61"/>
      <c r="BY19" s="61"/>
      <c r="BZ19" s="61"/>
      <c r="CA19" s="61"/>
      <c r="CB19" s="61"/>
      <c r="CC19" s="61"/>
      <c r="CD19" s="61"/>
      <c r="CE19" s="61"/>
      <c r="CF19" s="61"/>
      <c r="CG19" s="61"/>
      <c r="CH19" s="61"/>
      <c r="CI19" s="61"/>
      <c r="CJ19" s="61"/>
      <c r="CK19" s="61"/>
      <c r="CL19" s="61"/>
      <c r="CM19" s="61"/>
      <c r="CN19" s="61"/>
      <c r="CO19" s="61"/>
      <c r="CP19" s="61"/>
      <c r="CQ19" s="61"/>
      <c r="CR19" s="59"/>
      <c r="CS19" s="59"/>
      <c r="CT19" s="59"/>
      <c r="CU19" s="59"/>
    </row>
    <row r="20" spans="1:99" s="60" customFormat="1" ht="12" customHeight="1" x14ac:dyDescent="0.2">
      <c r="A20" s="94">
        <v>43509</v>
      </c>
      <c r="B20" s="101"/>
      <c r="C20" s="101"/>
      <c r="D20" s="77"/>
      <c r="E20" s="98"/>
      <c r="F20" s="77"/>
      <c r="G20" s="77"/>
      <c r="H20" s="77"/>
      <c r="I20" s="77"/>
      <c r="J20" s="77"/>
      <c r="K20" s="102"/>
      <c r="L20" s="102"/>
      <c r="M20" s="77"/>
      <c r="N20" s="77"/>
      <c r="O20" s="77"/>
      <c r="P20" s="77"/>
      <c r="Q20" s="77"/>
      <c r="R20" s="77"/>
      <c r="S20" s="77"/>
      <c r="T20" s="96"/>
      <c r="U20" s="32"/>
      <c r="V20" s="77"/>
      <c r="W20" s="77"/>
      <c r="X20" s="77"/>
      <c r="Y20" s="98"/>
      <c r="Z20" s="77"/>
      <c r="AA20" s="77"/>
      <c r="AB20" s="77"/>
      <c r="AC20" s="77"/>
      <c r="AD20" s="77"/>
      <c r="AE20" s="77"/>
      <c r="AF20" s="99"/>
      <c r="AG20" s="100"/>
      <c r="AH20" s="84"/>
      <c r="AI20" s="100"/>
      <c r="AJ20" s="105"/>
      <c r="AK20" s="100"/>
      <c r="AL20" s="100"/>
      <c r="AM20" s="100"/>
      <c r="AN20" s="100"/>
      <c r="AO20" s="100"/>
      <c r="AP20" s="100"/>
      <c r="AQ20" s="100"/>
      <c r="AR20" s="105"/>
      <c r="AS20" s="100"/>
      <c r="AT20" s="100"/>
      <c r="AU20" s="62"/>
      <c r="AV20" s="64">
        <f>3600*0.08</f>
        <v>288</v>
      </c>
      <c r="AW20" s="64">
        <f>3600*0.17</f>
        <v>612</v>
      </c>
      <c r="AX20" s="64">
        <f>3600*0.25</f>
        <v>900</v>
      </c>
      <c r="AY20" s="64">
        <f>3600*0.33</f>
        <v>1188</v>
      </c>
      <c r="AZ20" s="64">
        <f>3600*0.5</f>
        <v>1800</v>
      </c>
      <c r="BA20" s="64">
        <f>3600*1</f>
        <v>3600</v>
      </c>
      <c r="BB20" s="64">
        <f>3600*2</f>
        <v>7200</v>
      </c>
      <c r="BC20" s="64">
        <f>3600*3</f>
        <v>10800</v>
      </c>
      <c r="BD20" s="64">
        <f>3600*4</f>
        <v>14400</v>
      </c>
      <c r="BE20" s="64">
        <f>3600*5</f>
        <v>18000</v>
      </c>
      <c r="BF20" s="64">
        <f>3600*6</f>
        <v>21600</v>
      </c>
      <c r="BG20" s="64">
        <f>3600*7</f>
        <v>25200</v>
      </c>
      <c r="BH20" s="65"/>
      <c r="BI20" s="65"/>
      <c r="BJ20" s="65"/>
      <c r="BK20" s="65"/>
      <c r="BL20" s="61"/>
      <c r="BM20" s="61"/>
      <c r="BN20" s="61"/>
      <c r="BO20" s="61"/>
      <c r="BP20" s="61"/>
      <c r="BQ20" s="61"/>
      <c r="BR20" s="61"/>
      <c r="BS20" s="61"/>
      <c r="BT20" s="61"/>
      <c r="BU20" s="61"/>
      <c r="BV20" s="61"/>
      <c r="BW20" s="61"/>
      <c r="BX20" s="61"/>
      <c r="BY20" s="61"/>
      <c r="BZ20" s="61"/>
      <c r="CA20" s="61"/>
      <c r="CB20" s="61"/>
      <c r="CC20" s="61"/>
      <c r="CD20" s="61"/>
      <c r="CE20" s="61"/>
      <c r="CF20" s="61"/>
      <c r="CG20" s="61"/>
      <c r="CH20" s="61"/>
      <c r="CI20" s="61"/>
      <c r="CJ20" s="61"/>
      <c r="CK20" s="61"/>
      <c r="CL20" s="61"/>
      <c r="CM20" s="61"/>
      <c r="CN20" s="61"/>
      <c r="CO20" s="61"/>
      <c r="CP20" s="61"/>
      <c r="CQ20" s="61"/>
      <c r="CR20" s="59"/>
      <c r="CS20" s="59"/>
      <c r="CT20" s="59"/>
      <c r="CU20" s="59"/>
    </row>
    <row r="21" spans="1:99" s="60" customFormat="1" ht="12" customHeight="1" x14ac:dyDescent="0.2">
      <c r="A21" s="94">
        <v>43509</v>
      </c>
      <c r="B21" s="101" t="s">
        <v>203</v>
      </c>
      <c r="C21" s="101" t="s">
        <v>204</v>
      </c>
      <c r="D21" s="77">
        <v>1972</v>
      </c>
      <c r="E21" s="98">
        <v>1</v>
      </c>
      <c r="F21" s="77">
        <v>6</v>
      </c>
      <c r="G21" s="77">
        <v>6</v>
      </c>
      <c r="H21" s="77" t="s">
        <v>13</v>
      </c>
      <c r="I21" s="77" t="s">
        <v>223</v>
      </c>
      <c r="J21" s="77" t="s">
        <v>12</v>
      </c>
      <c r="K21" s="77" t="str">
        <f>IF(J21="syllables","1",IF(J21="trigrams","2",IF(J21="strings","3",IF(J21="visual array","4",IF(J21="characters","5",IF(J21="letters","6",IF(J21="free forms","7",IF(J21="odors","8",IF(J21="words","9",IF(J21="pictures","10",IF(J21="object pictures","11",IF(J21="faces","12",IF(J21="names","13",IF(J21="idioms","14",IF(J21="grades","15",IF(J21="syllable-digit pairs","16",IF(J21="trigram-word pairs","17",IF(J21="word-digit pairs","18",IF(J21="English-Swahili pairs","19",IF(J21="spatial position","20",IF(J21="word pairs","21",IF(J21="word triads","22",IF(J21="generated words","23",IF(J21="word definition pairs","24",IF(J21="math problems","25",IF(J21="famous faces","26",IF(J21="famous names","27",IF(J21="famous voices","28",IF(J21="television programs","29",IF(J21="race horses","30",IF(J21="new vocabulary","31",IF(J21="sentences","32",IF(J21="concepts","33",IF(J21="ad slides","34",IF(J21="scenes","35",IF(J21="famous scenes","36",IF(J21="poems","37",IF(J21="walk","38",IF(J21="faces and events","39",IF(J21="events and names","40",IF(J21="flashbulb","41",IF(J21="stories","42",IF(J21="course material","43",IF(J21="autobiographical","44",IF(J21="novels","45",IF(J21="public events","46",IF(J21="order","90","99")))))))))))))))))))))))))))))))))))))))))))))))</f>
        <v>9</v>
      </c>
      <c r="L21" s="77" t="str">
        <f>IF(J21="syllables","1",IF(J21="trigrams","1",IF(J21="strings","1",IF(J21="visual array","1",IF(J21="characters","1",IF(J21="letters","1",IF(J21="free forms","1",IF(J21="odors","2",IF(J21="words","2",IF(J21="pictures","2",IF(J21="object pictures","2",IF(J21="faces","2",IF(J21="names","2",IF(J21="idioms","2",IF(J21="grades","2",IF(J21="syllable-digit pairs","3",IF(J21="trigram-word pairs","3",IF(J21="word-digit pairs","3",IF(J21="English-Swahili pairs","3",IF(J21="spatial position","3",IF(J21="word pairs","4",IF(J21="word triads","4",IF(J21="generated words","4",IF(J21="word definition pairs","4",IF(J21="math problems","4",IF(J21="famous faces","4",IF(J21="famous names","4",IF(J21="famous voices","4",IF(J21="television programs","4",IF(J21="race horses","4",IF(J21="new vocabulary","4",IF(J21="sentences","5",IF(J21="concepts","5",IF(J21="ad slides","5",IF(J21="scenes","5",IF(J21="famous scenes","5",IF(J21="poems","6",IF(J21="walk","6",IF(J21="faces and events","6",IF(J21="events and names","6",IF(J21="flashbulb","7",IF(J21="stories","7",IF(J21="course material","7",IF(J21="autobiographical","7",IF(J21="novels","7",IF(J21="public events","7",IF(J21="order","90","99")))))))))))))))))))))))))))))))))))))))))))))))</f>
        <v>2</v>
      </c>
      <c r="M21" s="77" t="s">
        <v>195</v>
      </c>
      <c r="N21" s="77">
        <v>1</v>
      </c>
      <c r="O21" s="77" t="s">
        <v>195</v>
      </c>
      <c r="P21" s="77"/>
      <c r="Q21" s="77" t="s">
        <v>18</v>
      </c>
      <c r="R21" s="77" t="str">
        <f>IF(Q21="Free Recall","1",IF(Q21="Cued Recall","2",IF(Q21="Recognition","3",IF(Q21="Multiple Choice","4",IF(Q21="Savings","5",IF(Q21="Stem Completion","6",IF(Q21="Fragment Completion","7",IF(Q21="anagram solution","8",IF(Q21="Matching","9",IF(Q21="Problem Solving","10","99"))))))))))</f>
        <v>3</v>
      </c>
      <c r="S21" s="77" t="s">
        <v>196</v>
      </c>
      <c r="T21" s="96" t="s">
        <v>132</v>
      </c>
      <c r="U21" s="32">
        <f>IF(T21="within",1,0)</f>
        <v>1</v>
      </c>
      <c r="V21" s="96">
        <v>400</v>
      </c>
      <c r="W21" s="77">
        <f>F21*V21</f>
        <v>2400</v>
      </c>
      <c r="X21" s="77">
        <v>12</v>
      </c>
      <c r="Y21" s="98">
        <f>AV20</f>
        <v>288</v>
      </c>
      <c r="Z21" s="77" t="s">
        <v>221</v>
      </c>
      <c r="AA21" s="77">
        <v>25200</v>
      </c>
      <c r="AB21" s="77" t="str">
        <f>IF(AA21&lt;60,"1",IF(AA21&lt;=43200,"2",IF(AA21&lt;=777600,"3","4")))</f>
        <v>2</v>
      </c>
      <c r="AC21" s="100">
        <f>AVERAGE(AV20:DA20)</f>
        <v>8799</v>
      </c>
      <c r="AD21" s="77" t="str">
        <f>IF(AC21&lt;60,"1",IF(AC21&lt;=43200,"2",IF(AC21&lt;=777600,"3","4")))</f>
        <v>2</v>
      </c>
      <c r="AE21" s="98">
        <f>AA21-Y21</f>
        <v>24912</v>
      </c>
      <c r="AF21" s="99">
        <f>AV21</f>
        <v>2.44</v>
      </c>
      <c r="AG21" s="100">
        <f>((AW21-AV21)+(AX21-AW21)+(AY21-AX21)+(AZ21-AY21)+(BA21-AZ21)+(BB21-BA21)+(BC21-BB21)+(BD21-BC21)+(BE21-BD21)+(BF21-BE21)+(BG21-BF21))/11</f>
        <v>-0.14000000000000001</v>
      </c>
      <c r="AH21" s="84"/>
      <c r="AI21" s="100">
        <f>RSQ(AV21:BG21,AV20:BG20)</f>
        <v>0.87601557810489894</v>
      </c>
      <c r="AJ21" s="105">
        <f>SLOPE(AV21:BG21,AV20:BG20)</f>
        <v>-5.0548307421075858E-5</v>
      </c>
      <c r="AK21" s="100">
        <f>INTERCEPT(AV21:BG21,AV20:BG20)</f>
        <v>2.0831078903313802</v>
      </c>
      <c r="AL21" s="100">
        <f>INDEX(LINEST(LN(AV21:BG21),LN(AV20:BG20),TRUE,TRUE),3,1)</f>
        <v>0.89982330547151279</v>
      </c>
      <c r="AM21" s="100">
        <f>INDEX(LINEST(LN(AV21:BG21),LN(AV20:BG20)),1)</f>
        <v>-0.19278369016112795</v>
      </c>
      <c r="AN21" s="100">
        <f>EXP(INDEX(LINEST(LN(AV21:BG21),LN(AV20:BG20)),1,2))</f>
        <v>7.7346071499252416</v>
      </c>
      <c r="AO21" s="104">
        <f>INDEX(LINEST((AV21:BG21),LN(AV20:BG20),TRUE,TRUE),3,1)</f>
        <v>0.94968430152911099</v>
      </c>
      <c r="AP21" s="104">
        <f>INDEX(LINEST((AV21:BG21),LN(AV20:BG20)),1)</f>
        <v>-0.30663216042222707</v>
      </c>
      <c r="AQ21" s="48">
        <f>INDEX(LINEST(LN(AV21:BG21),SQRT(AV20:BG20),TRUE,TRUE),3,1)</f>
        <v>0.95300608148307209</v>
      </c>
      <c r="AR21" s="56">
        <f>INDEX(LINEST(LN(AV21:BG21),SQRT((AV20:BG20))),1)</f>
        <v>-5.9466968210296744E-3</v>
      </c>
      <c r="AS21" s="49">
        <f>INDEX(LINEST(1/(AV21:BG21),1/(SQRT(AV20:BG20)),TRUE,TRUE),3,1)</f>
        <v>0.62585451557264382</v>
      </c>
      <c r="AT21" s="49">
        <f>INDEX(LINEST(1/(AV21:BG21),1/SQRT(AV20:BG20)),1)</f>
        <v>-10.462015601026918</v>
      </c>
      <c r="AU21" s="63"/>
      <c r="AV21" s="65">
        <v>2.44</v>
      </c>
      <c r="AW21" s="65">
        <v>2.2200000000000002</v>
      </c>
      <c r="AX21" s="65">
        <v>1.89</v>
      </c>
      <c r="AY21" s="65">
        <v>2.1</v>
      </c>
      <c r="AZ21" s="65">
        <v>1.9</v>
      </c>
      <c r="BA21" s="65">
        <v>1.7</v>
      </c>
      <c r="BB21" s="65">
        <v>1.46</v>
      </c>
      <c r="BC21" s="65">
        <v>1.48</v>
      </c>
      <c r="BD21" s="65">
        <v>1.37</v>
      </c>
      <c r="BE21" s="65">
        <v>1.19</v>
      </c>
      <c r="BF21" s="65">
        <v>1.01</v>
      </c>
      <c r="BG21" s="65">
        <v>0.9</v>
      </c>
      <c r="BH21" s="65"/>
      <c r="BI21" s="65"/>
      <c r="BJ21" s="65"/>
      <c r="BK21" s="65"/>
      <c r="BL21" s="61"/>
      <c r="BM21" s="61"/>
      <c r="BN21" s="61"/>
      <c r="BO21" s="61"/>
      <c r="BP21" s="61"/>
      <c r="BQ21" s="61"/>
      <c r="BR21" s="61"/>
      <c r="BS21" s="61"/>
      <c r="BT21" s="61"/>
      <c r="BU21" s="61"/>
      <c r="BV21" s="61"/>
      <c r="BW21" s="61"/>
      <c r="BX21" s="61"/>
      <c r="BY21" s="61"/>
      <c r="BZ21" s="61"/>
      <c r="CA21" s="61"/>
      <c r="CB21" s="61"/>
      <c r="CC21" s="61"/>
      <c r="CD21" s="61"/>
      <c r="CE21" s="61"/>
      <c r="CF21" s="61"/>
      <c r="CG21" s="61"/>
      <c r="CH21" s="61"/>
      <c r="CI21" s="61"/>
      <c r="CJ21" s="61"/>
      <c r="CK21" s="61"/>
      <c r="CL21" s="61"/>
      <c r="CM21" s="61"/>
      <c r="CN21" s="61"/>
      <c r="CO21" s="61"/>
      <c r="CP21" s="61"/>
      <c r="CQ21" s="61"/>
      <c r="CR21" s="59"/>
      <c r="CS21" s="59"/>
      <c r="CT21" s="59"/>
      <c r="CU21" s="59"/>
    </row>
    <row r="22" spans="1:99" s="60" customFormat="1" ht="12" customHeight="1" x14ac:dyDescent="0.2">
      <c r="A22" s="94">
        <v>43509</v>
      </c>
      <c r="B22" s="101"/>
      <c r="C22" s="101"/>
      <c r="D22" s="77"/>
      <c r="E22" s="98"/>
      <c r="F22" s="77"/>
      <c r="G22" s="77"/>
      <c r="H22" s="77"/>
      <c r="I22" s="77"/>
      <c r="J22" s="77"/>
      <c r="K22" s="102"/>
      <c r="L22" s="102"/>
      <c r="M22" s="77"/>
      <c r="N22" s="77"/>
      <c r="O22" s="77"/>
      <c r="P22" s="77"/>
      <c r="Q22" s="77"/>
      <c r="R22" s="77"/>
      <c r="S22" s="77"/>
      <c r="T22" s="96"/>
      <c r="U22" s="96"/>
      <c r="V22" s="77"/>
      <c r="W22" s="77"/>
      <c r="X22" s="77"/>
      <c r="Y22" s="98"/>
      <c r="Z22" s="77"/>
      <c r="AA22" s="77"/>
      <c r="AB22" s="77"/>
      <c r="AC22" s="77"/>
      <c r="AD22" s="77"/>
      <c r="AE22" s="77"/>
      <c r="AF22" s="99"/>
      <c r="AG22" s="100"/>
      <c r="AH22" s="84"/>
      <c r="AI22" s="100"/>
      <c r="AJ22" s="105"/>
      <c r="AK22" s="100"/>
      <c r="AL22" s="100"/>
      <c r="AM22" s="100"/>
      <c r="AN22" s="100"/>
      <c r="AO22" s="100"/>
      <c r="AP22" s="100"/>
      <c r="AQ22" s="100"/>
      <c r="AR22" s="105"/>
      <c r="AS22" s="100"/>
      <c r="AT22" s="100"/>
      <c r="AU22" s="62"/>
      <c r="AV22" s="64">
        <f>60*0.117</f>
        <v>7.0200000000000005</v>
      </c>
      <c r="AW22" s="64">
        <f>60*0.175</f>
        <v>10.5</v>
      </c>
      <c r="AX22" s="64">
        <f>60*0.233</f>
        <v>13.98</v>
      </c>
      <c r="AY22" s="64">
        <f>60*0.35</f>
        <v>21</v>
      </c>
      <c r="AZ22" s="64">
        <f>60*0.467</f>
        <v>28.020000000000003</v>
      </c>
      <c r="BA22" s="64">
        <f>60*0.617</f>
        <v>37.019999999999996</v>
      </c>
      <c r="BB22" s="64">
        <f>60*0.708</f>
        <v>42.48</v>
      </c>
      <c r="BC22" s="64">
        <f>60*1.167</f>
        <v>70.02</v>
      </c>
      <c r="BD22" s="64">
        <f>60*1.75</f>
        <v>105</v>
      </c>
      <c r="BE22" s="64">
        <f>60*2.917</f>
        <v>175.01999999999998</v>
      </c>
      <c r="BF22" s="64">
        <f>60*5.833</f>
        <v>349.98</v>
      </c>
      <c r="BG22" s="64">
        <f>60*11.667</f>
        <v>700.02</v>
      </c>
      <c r="BH22" s="65"/>
      <c r="BI22" s="65"/>
      <c r="BJ22" s="65"/>
      <c r="BK22" s="65"/>
      <c r="BL22" s="61"/>
      <c r="BM22" s="61"/>
      <c r="BN22" s="61"/>
      <c r="BO22" s="61"/>
      <c r="BP22" s="61"/>
      <c r="BQ22" s="61"/>
      <c r="BR22" s="61"/>
      <c r="BS22" s="61"/>
      <c r="BT22" s="61"/>
      <c r="BU22" s="61"/>
      <c r="BV22" s="61"/>
      <c r="BW22" s="61"/>
      <c r="BX22" s="61"/>
      <c r="BY22" s="61"/>
      <c r="BZ22" s="61"/>
      <c r="CA22" s="61"/>
      <c r="CB22" s="61"/>
      <c r="CC22" s="61"/>
      <c r="CD22" s="61"/>
      <c r="CE22" s="61"/>
      <c r="CF22" s="61"/>
      <c r="CG22" s="61"/>
      <c r="CH22" s="61"/>
      <c r="CI22" s="61"/>
      <c r="CJ22" s="61"/>
      <c r="CK22" s="61"/>
      <c r="CL22" s="61"/>
      <c r="CM22" s="61"/>
      <c r="CN22" s="61"/>
      <c r="CO22" s="61"/>
      <c r="CP22" s="61"/>
      <c r="CQ22" s="61"/>
      <c r="CR22" s="59"/>
      <c r="CS22" s="59"/>
      <c r="CT22" s="59"/>
      <c r="CU22" s="59"/>
    </row>
    <row r="23" spans="1:99" s="60" customFormat="1" ht="12" customHeight="1" x14ac:dyDescent="0.2">
      <c r="A23" s="94">
        <v>43509</v>
      </c>
      <c r="B23" s="101" t="s">
        <v>228</v>
      </c>
      <c r="C23" s="101" t="s">
        <v>33</v>
      </c>
      <c r="D23" s="77">
        <v>1974</v>
      </c>
      <c r="E23" s="98">
        <v>1</v>
      </c>
      <c r="F23" s="77">
        <v>6</v>
      </c>
      <c r="G23" s="77">
        <v>6</v>
      </c>
      <c r="H23" s="77" t="s">
        <v>24</v>
      </c>
      <c r="I23" s="77" t="s">
        <v>229</v>
      </c>
      <c r="J23" s="77" t="s">
        <v>84</v>
      </c>
      <c r="K23" s="77" t="str">
        <f>IF(J23="syllables","1",IF(J23="trigrams","2",IF(J23="strings","3",IF(J23="visual array","4",IF(J23="characters","5",IF(J23="letters","6",IF(J23="free forms","7",IF(J23="odors","8",IF(J23="words","9",IF(J23="pictures","10",IF(J23="object pictures","11",IF(J23="faces","12",IF(J23="names","13",IF(J23="idioms","14",IF(J23="grades","15",IF(J23="syllable-digit pairs","16",IF(J23="trigram-word pairs","17",IF(J23="word-digit pairs","18",IF(J23="English-Swahili pairs","19",IF(J23="spatial position","20",IF(J23="word pairs","21",IF(J23="word triads","22",IF(J23="generated words","23",IF(J23="word definition pairs","24",IF(J23="math problems","25",IF(J23="famous faces","26",IF(J23="famous names","27",IF(J23="famous voices","28",IF(J23="television programs","29",IF(J23="race horses","30",IF(J23="new vocabulary","31",IF(J23="sentences","32",IF(J23="concepts","33",IF(J23="ad slides","34",IF(J23="scenes","35",IF(J23="famous scenes","36",IF(J23="poems","37",IF(J23="walk","38",IF(J23="faces and events","39",IF(J23="events and names","40",IF(J23="flashbulb","41",IF(J23="stories","42",IF(J23="course material","43",IF(J23="autobiographical","44",IF(J23="novels","45",IF(J23="public events","46",IF(J23="order","90","99")))))))))))))))))))))))))))))))))))))))))))))))</f>
        <v>21</v>
      </c>
      <c r="L23" s="77" t="str">
        <f>IF(J23="syllables","1",IF(J23="trigrams","1",IF(J23="strings","1",IF(J23="visual array","1",IF(J23="characters","1",IF(J23="letters","1",IF(J23="free forms","1",IF(J23="odors","2",IF(J23="words","2",IF(J23="pictures","2",IF(J23="object pictures","2",IF(J23="faces","2",IF(J23="names","2",IF(J23="idioms","2",IF(J23="grades","2",IF(J23="syllable-digit pairs","3",IF(J23="trigram-word pairs","3",IF(J23="word-digit pairs","3",IF(J23="English-Swahili pairs","3",IF(J23="spatial position","3",IF(J23="word pairs","4",IF(J23="word triads","4",IF(J23="generated words","4",IF(J23="word definition pairs","4",IF(J23="math problems","4",IF(J23="famous faces","4",IF(J23="famous names","4",IF(J23="famous voices","4",IF(J23="television programs","4",IF(J23="race horses","4",IF(J23="new vocabulary","4",IF(J23="sentences","5",IF(J23="concepts","5",IF(J23="ad slides","5",IF(J23="scenes","5",IF(J23="famous scenes","5",IF(J23="poems","6",IF(J23="walk","6",IF(J23="faces and events","6",IF(J23="events and names","6",IF(J23="flashbulb","7",IF(J23="stories","7",IF(J23="course material","7",IF(J23="autobiographical","7",IF(J23="novels","7",IF(J23="public events","7",IF(J23="order","90","99")))))))))))))))))))))))))))))))))))))))))))))))</f>
        <v>4</v>
      </c>
      <c r="M23" s="77" t="s">
        <v>195</v>
      </c>
      <c r="N23" s="77">
        <v>1</v>
      </c>
      <c r="O23" s="77" t="s">
        <v>195</v>
      </c>
      <c r="P23" s="77"/>
      <c r="Q23" s="77" t="s">
        <v>18</v>
      </c>
      <c r="R23" s="77" t="str">
        <f>IF(Q23="Free Recall","1",IF(Q23="Cued Recall","2",IF(Q23="Recognition","3",IF(Q23="Multiple Choice","4",IF(Q23="Savings","5",IF(Q23="Stem Completion","6",IF(Q23="Fragment Completion","7",IF(Q23="anagram solution","8",IF(Q23="Matching","9",IF(Q23="Problem Solving","10","99"))))))))))</f>
        <v>3</v>
      </c>
      <c r="S23" s="77" t="s">
        <v>196</v>
      </c>
      <c r="T23" s="96" t="s">
        <v>132</v>
      </c>
      <c r="U23" s="32">
        <f>IF(T23="within",1,0)</f>
        <v>1</v>
      </c>
      <c r="V23" s="96">
        <v>600</v>
      </c>
      <c r="W23" s="77">
        <f>F23*V23</f>
        <v>3600</v>
      </c>
      <c r="X23" s="77">
        <v>12</v>
      </c>
      <c r="Y23" s="98">
        <f>AV22</f>
        <v>7.0200000000000005</v>
      </c>
      <c r="Z23" s="77" t="s">
        <v>230</v>
      </c>
      <c r="AA23" s="77">
        <v>700</v>
      </c>
      <c r="AB23" s="77" t="str">
        <f>IF(AA23&lt;60,"1",IF(AA23&lt;=43200,"2",IF(AA23&lt;=777600,"3","4")))</f>
        <v>2</v>
      </c>
      <c r="AC23" s="100">
        <f>AVERAGE(AV22:DA22)</f>
        <v>130.005</v>
      </c>
      <c r="AD23" s="77" t="str">
        <f>IF(AC23&lt;60,"1",IF(AC23&lt;=43200,"2",IF(AC23&lt;=777600,"3","4")))</f>
        <v>2</v>
      </c>
      <c r="AE23" s="98">
        <f>AA23-Y23</f>
        <v>692.98</v>
      </c>
      <c r="AF23" s="99">
        <f>AV23</f>
        <v>4.46</v>
      </c>
      <c r="AG23" s="100">
        <f>((AW23-AV23)+(AX23-AW23)+(AY23-AX23)+(AZ23-AY23)+(BA23-AZ23)+(BB23-BA23)+(BC23-BB23)+(BD23-BC23)+(BE23-BD23)+(BF23-BE23)+(BG23-BF23))/11</f>
        <v>-0.21</v>
      </c>
      <c r="AH23" s="84"/>
      <c r="AI23" s="100">
        <f>RSQ(AV23:BG23,AV22:BG22)</f>
        <v>0.71938183053187466</v>
      </c>
      <c r="AJ23" s="105">
        <f>SLOPE(AV23:BG23,AV22:BG22)</f>
        <v>-3.0869652591551059E-3</v>
      </c>
      <c r="AK23" s="100">
        <f>INTERCEPT(AV23:BG23,AV22:BG22)</f>
        <v>3.9146542518497931</v>
      </c>
      <c r="AL23" s="100">
        <f>INDEX(LINEST(LN(AV23:BG23),LN(AV22:BG22),TRUE,TRUE),3,1)</f>
        <v>0.8426931247078685</v>
      </c>
      <c r="AM23" s="100">
        <f>INDEX(LINEST(LN(AV23:BG23),LN(AV22:BG22)),1)</f>
        <v>-0.15182155030122266</v>
      </c>
      <c r="AN23" s="100">
        <f>EXP(INDEX(LINEST(LN(AV23:BG23),LN(AV22:BG22)),1,2))</f>
        <v>6.2315244210124145</v>
      </c>
      <c r="AO23" s="104">
        <f>INDEX(LINEST((AV23:BG23),LN(AV22:BG22),TRUE,TRUE),3,1)</f>
        <v>0.83851218677390282</v>
      </c>
      <c r="AP23" s="104">
        <f>INDEX(LINEST((AV23:BG23),LN(AV22:BG22)),1)</f>
        <v>-0.48135745300306015</v>
      </c>
      <c r="AQ23" s="48">
        <f>INDEX(LINEST(LN(AV23:BG23),SQRT(AV22:BG22),TRUE,TRUE),3,1)</f>
        <v>0.88988718902968422</v>
      </c>
      <c r="AR23" s="56">
        <f>INDEX(LINEST(LN(AV23:BG23),SQRT((AV22:BG22))),1)</f>
        <v>-3.0778280496874613E-2</v>
      </c>
      <c r="AS23" s="49">
        <f>INDEX(LINEST(1/(AV23:BG23),1/(SQRT(AV22:BG22)),TRUE,TRUE),3,1)</f>
        <v>0.59459853328843781</v>
      </c>
      <c r="AT23" s="49">
        <f>INDEX(LINEST(1/(AV23:BG23),1/SQRT(AV22:BG22)),1)</f>
        <v>-0.56357058213924083</v>
      </c>
      <c r="AU23" s="63"/>
      <c r="AV23" s="65">
        <v>4.46</v>
      </c>
      <c r="AW23" s="65">
        <v>3.75</v>
      </c>
      <c r="AX23" s="65">
        <v>4.32</v>
      </c>
      <c r="AY23" s="65">
        <v>3.91</v>
      </c>
      <c r="AZ23" s="65">
        <v>4.1399999999999997</v>
      </c>
      <c r="BA23" s="65">
        <v>3.61</v>
      </c>
      <c r="BB23" s="65">
        <v>3.33</v>
      </c>
      <c r="BC23" s="65">
        <v>4</v>
      </c>
      <c r="BD23" s="65">
        <v>3.24</v>
      </c>
      <c r="BE23" s="65">
        <v>2.91</v>
      </c>
      <c r="BF23" s="65">
        <v>2.34</v>
      </c>
      <c r="BG23" s="65">
        <v>2.15</v>
      </c>
      <c r="BH23" s="65"/>
      <c r="BI23" s="65"/>
      <c r="BJ23" s="65"/>
      <c r="BK23" s="65"/>
      <c r="BL23" s="61"/>
      <c r="BM23" s="61"/>
      <c r="BN23" s="61"/>
      <c r="BO23" s="61"/>
      <c r="BP23" s="61"/>
      <c r="BQ23" s="61"/>
      <c r="BR23" s="61"/>
      <c r="BS23" s="61"/>
      <c r="BT23" s="61"/>
      <c r="BU23" s="61"/>
      <c r="BV23" s="61"/>
      <c r="BW23" s="61"/>
      <c r="BX23" s="61"/>
      <c r="BY23" s="61"/>
      <c r="BZ23" s="61"/>
      <c r="CA23" s="61"/>
      <c r="CB23" s="61"/>
      <c r="CC23" s="61"/>
      <c r="CD23" s="61"/>
      <c r="CE23" s="61"/>
      <c r="CF23" s="61"/>
      <c r="CG23" s="61"/>
      <c r="CH23" s="61"/>
      <c r="CI23" s="61"/>
      <c r="CJ23" s="61"/>
      <c r="CK23" s="61"/>
      <c r="CL23" s="61"/>
      <c r="CM23" s="61"/>
      <c r="CN23" s="61"/>
      <c r="CO23" s="61"/>
      <c r="CP23" s="61"/>
      <c r="CQ23" s="61"/>
      <c r="CR23" s="59"/>
      <c r="CS23" s="59"/>
      <c r="CT23" s="59"/>
      <c r="CU23" s="59"/>
    </row>
    <row r="24" spans="1:99" ht="12" customHeight="1" x14ac:dyDescent="0.2">
      <c r="K24" s="32"/>
      <c r="L24" s="32"/>
      <c r="R24" s="32"/>
      <c r="W24" s="32"/>
      <c r="Y24" s="41"/>
      <c r="AB24" s="32"/>
      <c r="AE24" s="41"/>
      <c r="AF24" s="45"/>
    </row>
    <row r="25" spans="1:99" ht="12" customHeight="1" x14ac:dyDescent="0.2">
      <c r="R25" s="32"/>
      <c r="W25" s="32"/>
      <c r="Y25" s="41"/>
      <c r="AB25" s="32"/>
      <c r="AE25" s="32"/>
      <c r="AF25" s="45"/>
      <c r="AL25" s="68" t="s">
        <v>135</v>
      </c>
      <c r="AM25" s="29">
        <f>AVERAGE(AM3:AM23)</f>
        <v>-0.16449643070897965</v>
      </c>
    </row>
    <row r="26" spans="1:99" ht="12" customHeight="1" x14ac:dyDescent="0.2">
      <c r="K26" s="32"/>
      <c r="L26" s="32"/>
      <c r="R26" s="32"/>
      <c r="W26" s="32"/>
      <c r="Y26" s="41"/>
      <c r="AB26" s="32"/>
      <c r="AE26" s="41"/>
      <c r="AF26" s="45"/>
      <c r="AL26" s="23" t="s">
        <v>188</v>
      </c>
      <c r="AM26" s="29">
        <f>MEDIAN(AM3:AM23)</f>
        <v>-0.15182155030122266</v>
      </c>
    </row>
    <row r="27" spans="1:99" ht="12" customHeight="1" x14ac:dyDescent="0.2">
      <c r="R27" s="32"/>
      <c r="W27" s="32"/>
      <c r="Y27" s="41"/>
      <c r="AB27" s="32"/>
      <c r="AE27" s="32"/>
      <c r="AF27" s="45"/>
      <c r="AL27" s="68" t="s">
        <v>167</v>
      </c>
      <c r="AM27" s="29">
        <f>MIN(AM3:AM23)</f>
        <v>-0.38727369123979294</v>
      </c>
    </row>
    <row r="28" spans="1:99" ht="12" customHeight="1" x14ac:dyDescent="0.2">
      <c r="K28" s="32"/>
      <c r="L28" s="32"/>
      <c r="R28" s="32"/>
      <c r="W28" s="32"/>
      <c r="Y28" s="41"/>
      <c r="AB28" s="32"/>
      <c r="AE28" s="41"/>
      <c r="AF28" s="45"/>
      <c r="AL28" s="68" t="s">
        <v>166</v>
      </c>
      <c r="AM28" s="29">
        <f>MAX(AM3:AM23)</f>
        <v>-2.6423856011413897E-2</v>
      </c>
    </row>
    <row r="29" spans="1:99" ht="12" customHeight="1" x14ac:dyDescent="0.2">
      <c r="R29" s="32"/>
      <c r="W29" s="32"/>
      <c r="Y29" s="41"/>
      <c r="AB29" s="32"/>
      <c r="AE29" s="32"/>
      <c r="AF29" s="45"/>
      <c r="AL29" s="68" t="s">
        <v>168</v>
      </c>
      <c r="AM29" s="36">
        <f xml:space="preserve"> STDEV(AM3:AM23)</f>
        <v>9.39645801691604E-2</v>
      </c>
    </row>
    <row r="30" spans="1:99" ht="12" customHeight="1" x14ac:dyDescent="0.2">
      <c r="K30" s="32"/>
      <c r="L30" s="32"/>
      <c r="R30" s="32"/>
      <c r="W30" s="32"/>
      <c r="Y30" s="41"/>
      <c r="AB30" s="32"/>
      <c r="AE30" s="41"/>
      <c r="AF30" s="45"/>
      <c r="AL30" s="23" t="s">
        <v>187</v>
      </c>
      <c r="AM30" s="36">
        <f xml:space="preserve"> STDEV(AM3:AM23)/SQRT(COUNT(AM3:AM23))</f>
        <v>2.8331386909488616E-2</v>
      </c>
    </row>
    <row r="31" spans="1:99" ht="12" customHeight="1" x14ac:dyDescent="0.2">
      <c r="R31" s="32"/>
      <c r="W31" s="32"/>
      <c r="Y31" s="41"/>
      <c r="AB31" s="32"/>
      <c r="AE31" s="32"/>
      <c r="AF31" s="45"/>
      <c r="AL31" s="69"/>
      <c r="AM31" s="70"/>
    </row>
    <row r="32" spans="1:99" ht="12" customHeight="1" x14ac:dyDescent="0.2">
      <c r="K32" s="32"/>
      <c r="L32" s="32"/>
      <c r="R32" s="32"/>
      <c r="W32" s="32"/>
      <c r="Y32" s="41"/>
      <c r="AB32" s="32"/>
      <c r="AE32" s="41"/>
      <c r="AF32" s="45"/>
      <c r="AL32" s="69" t="s">
        <v>45</v>
      </c>
      <c r="AM32" s="70">
        <f>AM25-(3*AM29)</f>
        <v>-0.44639017121646085</v>
      </c>
    </row>
    <row r="33" spans="11:39" ht="12" customHeight="1" x14ac:dyDescent="0.2">
      <c r="R33" s="32"/>
      <c r="W33" s="32"/>
      <c r="Y33" s="41"/>
      <c r="AB33" s="32"/>
      <c r="AE33" s="32"/>
      <c r="AF33" s="45"/>
      <c r="AL33" s="69" t="s">
        <v>44</v>
      </c>
      <c r="AM33" s="70">
        <f>AM25+(3*AM29)</f>
        <v>0.11739730979850152</v>
      </c>
    </row>
    <row r="34" spans="11:39" ht="12" customHeight="1" x14ac:dyDescent="0.2">
      <c r="K34" s="32"/>
      <c r="L34" s="32"/>
      <c r="R34" s="32"/>
      <c r="W34" s="32"/>
      <c r="Y34" s="41"/>
      <c r="AB34" s="32"/>
      <c r="AE34" s="41"/>
      <c r="AF34" s="45"/>
    </row>
    <row r="35" spans="11:39" ht="12" customHeight="1" x14ac:dyDescent="0.2">
      <c r="R35" s="32"/>
      <c r="W35" s="32"/>
      <c r="Y35" s="41"/>
      <c r="AB35" s="32"/>
      <c r="AE35" s="32"/>
      <c r="AF35" s="45"/>
    </row>
    <row r="36" spans="11:39" ht="12" customHeight="1" x14ac:dyDescent="0.2">
      <c r="K36" s="32"/>
      <c r="L36" s="32"/>
      <c r="R36" s="32"/>
      <c r="W36" s="32"/>
      <c r="Y36" s="41"/>
      <c r="AB36" s="32"/>
      <c r="AE36" s="41"/>
      <c r="AF36" s="45"/>
    </row>
    <row r="37" spans="11:39" ht="12" customHeight="1" x14ac:dyDescent="0.2">
      <c r="W37" s="32"/>
      <c r="Y37" s="41"/>
      <c r="AB37" s="32"/>
      <c r="AE37" s="32"/>
      <c r="AF37" s="45"/>
    </row>
    <row r="38" spans="11:39" ht="12" customHeight="1" x14ac:dyDescent="0.2">
      <c r="K38" s="32"/>
      <c r="L38" s="32"/>
      <c r="W38" s="32"/>
      <c r="Y38" s="41"/>
      <c r="AE38" s="41"/>
      <c r="AF38" s="45"/>
    </row>
    <row r="39" spans="11:39" ht="12" customHeight="1" x14ac:dyDescent="0.2">
      <c r="W39" s="32"/>
      <c r="Y39" s="41"/>
      <c r="AE39" s="32"/>
      <c r="AF39" s="45"/>
    </row>
    <row r="40" spans="11:39" ht="12" customHeight="1" x14ac:dyDescent="0.2">
      <c r="K40" s="32"/>
      <c r="L40" s="32"/>
      <c r="W40" s="32"/>
      <c r="Y40" s="41"/>
      <c r="AE40" s="41"/>
      <c r="AF40" s="45"/>
    </row>
    <row r="41" spans="11:39" ht="12" customHeight="1" x14ac:dyDescent="0.2">
      <c r="W41" s="32"/>
      <c r="Y41" s="41"/>
      <c r="AE41" s="32"/>
      <c r="AF41" s="45"/>
    </row>
    <row r="42" spans="11:39" ht="12" customHeight="1" x14ac:dyDescent="0.2">
      <c r="K42" s="32"/>
      <c r="L42" s="32"/>
      <c r="W42" s="32"/>
      <c r="Y42" s="41"/>
      <c r="AE42" s="41"/>
      <c r="AF42" s="45"/>
    </row>
    <row r="43" spans="11:39" ht="12" customHeight="1" x14ac:dyDescent="0.2">
      <c r="W43" s="32"/>
      <c r="Y43" s="41"/>
      <c r="AE43" s="32"/>
      <c r="AF43" s="45"/>
    </row>
    <row r="44" spans="11:39" ht="12" customHeight="1" x14ac:dyDescent="0.2">
      <c r="K44" s="32"/>
      <c r="L44" s="32"/>
      <c r="W44" s="32"/>
      <c r="Y44" s="41"/>
      <c r="AE44" s="41"/>
      <c r="AF44" s="45"/>
    </row>
    <row r="46" spans="11:39" ht="12" customHeight="1" x14ac:dyDescent="0.2">
      <c r="K46" s="32"/>
      <c r="L46" s="32"/>
    </row>
  </sheetData>
  <conditionalFormatting sqref="Y27">
    <cfRule type="expression" dxfId="337" priority="85">
      <formula>MOD(ROW(),2)=1</formula>
    </cfRule>
  </conditionalFormatting>
  <conditionalFormatting sqref="Y35">
    <cfRule type="expression" dxfId="336" priority="83">
      <formula>MOD(ROW(),2)=1</formula>
    </cfRule>
  </conditionalFormatting>
  <conditionalFormatting sqref="Y39">
    <cfRule type="expression" dxfId="335" priority="82">
      <formula>MOD(ROW(),2)=1</formula>
    </cfRule>
  </conditionalFormatting>
  <conditionalFormatting sqref="Y31">
    <cfRule type="expression" dxfId="334" priority="84">
      <formula>MOD(ROW(),2)=1</formula>
    </cfRule>
  </conditionalFormatting>
  <conditionalFormatting sqref="Y43">
    <cfRule type="expression" dxfId="333" priority="81">
      <formula>MOD(ROW(),2)=1</formula>
    </cfRule>
  </conditionalFormatting>
  <conditionalFormatting sqref="W27">
    <cfRule type="expression" dxfId="332" priority="56">
      <formula>MOD(ROW(),2)=1</formula>
    </cfRule>
  </conditionalFormatting>
  <conditionalFormatting sqref="W31">
    <cfRule type="expression" dxfId="331" priority="55">
      <formula>MOD(ROW(),2)=1</formula>
    </cfRule>
  </conditionalFormatting>
  <conditionalFormatting sqref="W35">
    <cfRule type="expression" dxfId="330" priority="54">
      <formula>MOD(ROW(),2)=1</formula>
    </cfRule>
  </conditionalFormatting>
  <conditionalFormatting sqref="W39">
    <cfRule type="expression" dxfId="329" priority="53">
      <formula>MOD(ROW(),2)=1</formula>
    </cfRule>
  </conditionalFormatting>
  <conditionalFormatting sqref="W43">
    <cfRule type="expression" dxfId="328" priority="52">
      <formula>MOD(ROW(),2)=1</formula>
    </cfRule>
  </conditionalFormatting>
  <conditionalFormatting sqref="W10">
    <cfRule type="expression" dxfId="327" priority="18">
      <formula>MOD(ROW(),2)=1</formula>
    </cfRule>
  </conditionalFormatting>
  <conditionalFormatting sqref="W14">
    <cfRule type="expression" dxfId="326" priority="17">
      <formula>MOD(ROW(),2)=1</formula>
    </cfRule>
  </conditionalFormatting>
  <conditionalFormatting sqref="W18">
    <cfRule type="expression" dxfId="325" priority="14">
      <formula>MOD(ROW(),2)=1</formula>
    </cfRule>
  </conditionalFormatting>
  <conditionalFormatting sqref="U6">
    <cfRule type="expression" dxfId="324" priority="12">
      <formula>MOD(ROW(),2)=1</formula>
    </cfRule>
  </conditionalFormatting>
  <conditionalFormatting sqref="Y18">
    <cfRule type="expression" dxfId="323" priority="20">
      <formula>MOD(ROW(),2)=1</formula>
    </cfRule>
  </conditionalFormatting>
  <conditionalFormatting sqref="U16">
    <cfRule type="expression" dxfId="322" priority="3">
      <formula>MOD(ROW(),2)=1</formula>
    </cfRule>
  </conditionalFormatting>
  <conditionalFormatting sqref="AC2 AG2">
    <cfRule type="expression" dxfId="321" priority="33">
      <formula>MOD(ROW(),2)=1</formula>
    </cfRule>
  </conditionalFormatting>
  <conditionalFormatting sqref="AD2">
    <cfRule type="expression" dxfId="320" priority="32">
      <formula>MOD(ROW(),2)=1</formula>
    </cfRule>
  </conditionalFormatting>
  <conditionalFormatting sqref="Y2">
    <cfRule type="expression" dxfId="319" priority="31">
      <formula>MOD(ROW(),2)=1</formula>
    </cfRule>
  </conditionalFormatting>
  <conditionalFormatting sqref="W2">
    <cfRule type="expression" dxfId="318" priority="30">
      <formula>MOD(ROW(),2)=1</formula>
    </cfRule>
  </conditionalFormatting>
  <conditionalFormatting sqref="U2">
    <cfRule type="expression" dxfId="317" priority="29">
      <formula>MOD(ROW(),2)=1</formula>
    </cfRule>
  </conditionalFormatting>
  <conditionalFormatting sqref="AC4 AC6 AC8 AC10 AC12 AC14 AC16 AC18 AC20 AC22 AG4 AG22 AG20 AG18 AG16 AG14 AG12 AG10 AG8 AG6">
    <cfRule type="expression" dxfId="316" priority="28">
      <formula>MOD(ROW(),2)=1</formula>
    </cfRule>
  </conditionalFormatting>
  <conditionalFormatting sqref="AB18">
    <cfRule type="expression" dxfId="315" priority="27">
      <formula>MOD(ROW(),2)=1</formula>
    </cfRule>
  </conditionalFormatting>
  <conditionalFormatting sqref="AD6 AD8 AD22 AD10">
    <cfRule type="expression" dxfId="314" priority="26">
      <formula>MOD(ROW(),2)=1</formula>
    </cfRule>
  </conditionalFormatting>
  <conditionalFormatting sqref="Y6">
    <cfRule type="expression" dxfId="313" priority="25">
      <formula>MOD(ROW(),2)=1</formula>
    </cfRule>
  </conditionalFormatting>
  <conditionalFormatting sqref="Y10">
    <cfRule type="expression" dxfId="312" priority="24">
      <formula>MOD(ROW(),2)=1</formula>
    </cfRule>
  </conditionalFormatting>
  <conditionalFormatting sqref="Y14">
    <cfRule type="expression" dxfId="311" priority="23">
      <formula>MOD(ROW(),2)=1</formula>
    </cfRule>
  </conditionalFormatting>
  <conditionalFormatting sqref="W6">
    <cfRule type="expression" dxfId="310" priority="19">
      <formula>MOD(ROW(),2)=1</formula>
    </cfRule>
  </conditionalFormatting>
  <conditionalFormatting sqref="U4">
    <cfRule type="expression" dxfId="309" priority="13">
      <formula>MOD(ROW(),2)=1</formula>
    </cfRule>
  </conditionalFormatting>
  <conditionalFormatting sqref="U8">
    <cfRule type="expression" dxfId="308" priority="11">
      <formula>MOD(ROW(),2)=1</formula>
    </cfRule>
  </conditionalFormatting>
  <conditionalFormatting sqref="U10">
    <cfRule type="expression" dxfId="307" priority="10">
      <formula>MOD(ROW(),2)=1</formula>
    </cfRule>
  </conditionalFormatting>
  <conditionalFormatting sqref="U12">
    <cfRule type="expression" dxfId="306" priority="9">
      <formula>MOD(ROW(),2)=1</formula>
    </cfRule>
  </conditionalFormatting>
  <conditionalFormatting sqref="U14">
    <cfRule type="expression" dxfId="305" priority="8">
      <formula>MOD(ROW(),2)=1</formula>
    </cfRule>
  </conditionalFormatting>
  <conditionalFormatting sqref="U18">
    <cfRule type="expression" dxfId="304" priority="2">
      <formula>MOD(ROW(),2)=1</formula>
    </cfRule>
  </conditionalFormatting>
  <conditionalFormatting sqref="U20">
    <cfRule type="expression" dxfId="303" priority="1">
      <formula>MOD(ROW(),2)=1</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143"/>
  <sheetViews>
    <sheetView workbookViewId="0"/>
  </sheetViews>
  <sheetFormatPr defaultRowHeight="15" x14ac:dyDescent="0.25"/>
  <sheetData>
    <row r="3" spans="1:4" x14ac:dyDescent="0.25">
      <c r="A3" t="str">
        <f>'e-LTM Single'!B3</f>
        <v>Graf, P., &amp; Mandler, G. (1984). Activation Makes Words More Accessible, but Not Necessarily More Retrievable. Journal of Verbal Learning and Verbal Behavior, 23(5), 553-568.</v>
      </c>
      <c r="B3">
        <f>'e-LTM Single'!AA3</f>
        <v>5400</v>
      </c>
      <c r="C3">
        <f>B3/(60*60)</f>
        <v>1.5</v>
      </c>
      <c r="D3" s="35">
        <f>'e-LTM Single'!AM3</f>
        <v>-2.6423856011413897E-2</v>
      </c>
    </row>
    <row r="5" spans="1:4" x14ac:dyDescent="0.25">
      <c r="A5" t="str">
        <f>'e-LTM Single'!B5</f>
        <v>Wickelgren, W. (1972). Trace resistance and the decay of long-term memory. Journal of Mathematical Psychology, 9(4), 418-455.</v>
      </c>
      <c r="B5">
        <f>'e-LTM Single'!AA5</f>
        <v>702</v>
      </c>
      <c r="C5">
        <f>B5/(60*60)</f>
        <v>0.19500000000000001</v>
      </c>
      <c r="D5" s="35">
        <f>'e-LTM Single'!AM5</f>
        <v>-0.231605695561754</v>
      </c>
    </row>
    <row r="7" spans="1:4" x14ac:dyDescent="0.25">
      <c r="A7" t="str">
        <f>'e-LTM Single'!B7</f>
        <v>Wickelgren, W. (1972). Trace resistance and the decay of long-term memory. Journal of Mathematical Psychology, 9(4), 418-455.</v>
      </c>
      <c r="B7">
        <f>'e-LTM Single'!AA7</f>
        <v>702</v>
      </c>
      <c r="C7">
        <f>B7/(60*60)</f>
        <v>0.19500000000000001</v>
      </c>
      <c r="D7" s="35">
        <f>'e-LTM Single'!AM7</f>
        <v>-0.38727369123979294</v>
      </c>
    </row>
    <row r="9" spans="1:4" x14ac:dyDescent="0.25">
      <c r="A9" t="str">
        <f>'e-LTM Single'!B9</f>
        <v>Wickelgren, W. (1972). Trace resistance and the decay of long-term memory. Journal of Mathematical Psychology, 9(4), 418-455.</v>
      </c>
      <c r="B9">
        <f>'e-LTM Single'!AA9</f>
        <v>1398</v>
      </c>
      <c r="C9">
        <f>B9/(60*60)</f>
        <v>0.38833333333333331</v>
      </c>
      <c r="D9" s="35">
        <f>'e-LTM Single'!AM9</f>
        <v>-0.14009386451260886</v>
      </c>
    </row>
    <row r="11" spans="1:4" x14ac:dyDescent="0.25">
      <c r="A11" t="str">
        <f>'e-LTM Single'!B11</f>
        <v>Wickelgren, W. (1972). Trace resistance and the decay of long-term memory. Journal of Mathematical Psychology, 9(4), 418-455.</v>
      </c>
      <c r="B11">
        <f>'e-LTM Single'!AA11</f>
        <v>1398</v>
      </c>
      <c r="C11">
        <f>B11/(60*60)</f>
        <v>0.38833333333333331</v>
      </c>
      <c r="D11" s="35">
        <f>'e-LTM Single'!AM11</f>
        <v>-5.5660573317711515E-2</v>
      </c>
    </row>
    <row r="13" spans="1:4" x14ac:dyDescent="0.25">
      <c r="A13" t="str">
        <f>'e-LTM Single'!B13</f>
        <v>Wickelgren, W. (1972). Trace resistance and the decay of long-term memory. Journal of Mathematical Psychology, 9(4), 418-455.</v>
      </c>
      <c r="B13">
        <f>'e-LTM Single'!AA13</f>
        <v>1398</v>
      </c>
      <c r="C13">
        <f>B13/(60*60)</f>
        <v>0.38833333333333331</v>
      </c>
      <c r="D13" s="35">
        <f>'e-LTM Single'!AM13</f>
        <v>-0.13662508109794766</v>
      </c>
    </row>
    <row r="15" spans="1:4" x14ac:dyDescent="0.25">
      <c r="A15" t="str">
        <f>'e-LTM Single'!B15</f>
        <v>Wickelgren, W. (1972). Trace resistance and the decay of long-term memory. Journal of Mathematical Psychology, 9(4), 418-455.</v>
      </c>
      <c r="B15">
        <f>'e-LTM Single'!AA15</f>
        <v>1398</v>
      </c>
      <c r="C15">
        <f>B15/(60*60)</f>
        <v>0.38833333333333331</v>
      </c>
      <c r="D15" s="35">
        <f>'e-LTM Single'!AM15</f>
        <v>-0.17541803033396614</v>
      </c>
    </row>
    <row r="17" spans="1:8" x14ac:dyDescent="0.25">
      <c r="A17" t="str">
        <f>'e-LTM Single'!B17</f>
        <v>Wickelgren, W. (1972). Trace resistance and the decay of long-term memory. Journal of Mathematical Psychology, 9(4), 418-455.</v>
      </c>
      <c r="B17">
        <f>'e-LTM Single'!AA17</f>
        <v>25200</v>
      </c>
      <c r="C17">
        <f>B17/(60*60)</f>
        <v>7</v>
      </c>
      <c r="D17" s="35">
        <f>'e-LTM Single'!AM17</f>
        <v>-0.13785230161429973</v>
      </c>
    </row>
    <row r="18" spans="1:8" x14ac:dyDescent="0.25">
      <c r="G18" s="67">
        <f>AVERAGE(D3:D23)</f>
        <v>-0.16449643070897965</v>
      </c>
      <c r="H18" s="66">
        <f xml:space="preserve"> STDEV(D3:D23)/SQRT(COUNT(D3:D23))</f>
        <v>2.8331386909488616E-2</v>
      </c>
    </row>
    <row r="19" spans="1:8" x14ac:dyDescent="0.25">
      <c r="A19" t="str">
        <f>'e-LTM Single'!B19</f>
        <v>Wickelgren, W. (1972). Trace resistance and the decay of long-term memory. Journal of Mathematical Psychology, 9(4), 418-455.</v>
      </c>
      <c r="B19">
        <f>'e-LTM Single'!AA19</f>
        <v>25200</v>
      </c>
      <c r="C19">
        <f>B19/(60*60)</f>
        <v>7</v>
      </c>
      <c r="D19" s="35">
        <f>'e-LTM Single'!AM19</f>
        <v>-0.17390240364693083</v>
      </c>
    </row>
    <row r="21" spans="1:8" x14ac:dyDescent="0.25">
      <c r="A21" t="str">
        <f>'e-LTM Single'!B21</f>
        <v>Wickelgren, W. (1972). Trace resistance and the decay of long-term memory. Journal of Mathematical Psychology, 9(4), 418-455.</v>
      </c>
      <c r="B21">
        <f>'e-LTM Single'!AA21</f>
        <v>25200</v>
      </c>
      <c r="C21">
        <f>B21/(60*60)</f>
        <v>7</v>
      </c>
      <c r="D21" s="35">
        <f>'e-LTM Single'!AM21</f>
        <v>-0.19278369016112795</v>
      </c>
    </row>
    <row r="23" spans="1:8" x14ac:dyDescent="0.25">
      <c r="A23" t="str">
        <f>'e-LTM Single'!B23</f>
        <v>Wickelgren, W. (1974). Single-trace fragility theory of memory dynamics. Memory &amp; Cognition, 2(4), 775-780.</v>
      </c>
      <c r="B23">
        <f>'e-LTM Single'!AA23</f>
        <v>700</v>
      </c>
      <c r="C23">
        <f>B23/(60*60)</f>
        <v>0.19444444444444445</v>
      </c>
      <c r="D23" s="35">
        <f>'e-LTM Single'!AM23</f>
        <v>-0.15182155030122266</v>
      </c>
    </row>
    <row r="25" spans="1:8" x14ac:dyDescent="0.25">
      <c r="D25" s="35"/>
    </row>
    <row r="27" spans="1:8" x14ac:dyDescent="0.25">
      <c r="D27" s="35"/>
    </row>
    <row r="29" spans="1:8" x14ac:dyDescent="0.25">
      <c r="D29" s="35"/>
    </row>
    <row r="31" spans="1:8" x14ac:dyDescent="0.25">
      <c r="D31" s="35"/>
    </row>
    <row r="33" spans="4:4" x14ac:dyDescent="0.25">
      <c r="D33" s="35"/>
    </row>
    <row r="35" spans="4:4" x14ac:dyDescent="0.25">
      <c r="D35" s="35"/>
    </row>
    <row r="37" spans="4:4" x14ac:dyDescent="0.25">
      <c r="D37" s="35"/>
    </row>
    <row r="39" spans="4:4" x14ac:dyDescent="0.25">
      <c r="D39" s="35"/>
    </row>
    <row r="41" spans="4:4" x14ac:dyDescent="0.25">
      <c r="D41" s="35"/>
    </row>
    <row r="43" spans="4:4" x14ac:dyDescent="0.25">
      <c r="D43" s="35"/>
    </row>
    <row r="45" spans="4:4" x14ac:dyDescent="0.25">
      <c r="D45" s="35"/>
    </row>
    <row r="47" spans="4:4" x14ac:dyDescent="0.25">
      <c r="D47" s="35"/>
    </row>
    <row r="49" spans="4:4" x14ac:dyDescent="0.25">
      <c r="D49" s="35"/>
    </row>
    <row r="51" spans="4:4" x14ac:dyDescent="0.25">
      <c r="D51" s="35"/>
    </row>
    <row r="53" spans="4:4" x14ac:dyDescent="0.25">
      <c r="D53" s="35"/>
    </row>
    <row r="55" spans="4:4" x14ac:dyDescent="0.25">
      <c r="D55" s="35"/>
    </row>
    <row r="57" spans="4:4" x14ac:dyDescent="0.25">
      <c r="D57" s="35"/>
    </row>
    <row r="59" spans="4:4" x14ac:dyDescent="0.25">
      <c r="D59" s="35"/>
    </row>
    <row r="61" spans="4:4" x14ac:dyDescent="0.25">
      <c r="D61" s="35"/>
    </row>
    <row r="63" spans="4:4" x14ac:dyDescent="0.25">
      <c r="D63" s="35"/>
    </row>
    <row r="65" spans="4:4" x14ac:dyDescent="0.25">
      <c r="D65" s="35"/>
    </row>
    <row r="67" spans="4:4" x14ac:dyDescent="0.25">
      <c r="D67" s="35"/>
    </row>
    <row r="69" spans="4:4" x14ac:dyDescent="0.25">
      <c r="D69" s="35"/>
    </row>
    <row r="71" spans="4:4" x14ac:dyDescent="0.25">
      <c r="D71" s="35"/>
    </row>
    <row r="73" spans="4:4" x14ac:dyDescent="0.25">
      <c r="D73" s="35"/>
    </row>
    <row r="75" spans="4:4" x14ac:dyDescent="0.25">
      <c r="D75" s="35"/>
    </row>
    <row r="77" spans="4:4" x14ac:dyDescent="0.25">
      <c r="D77" s="35"/>
    </row>
    <row r="79" spans="4:4" x14ac:dyDescent="0.25">
      <c r="D79" s="35"/>
    </row>
    <row r="81" spans="4:4" x14ac:dyDescent="0.25">
      <c r="D81" s="35"/>
    </row>
    <row r="83" spans="4:4" x14ac:dyDescent="0.25">
      <c r="D83" s="35"/>
    </row>
    <row r="85" spans="4:4" x14ac:dyDescent="0.25">
      <c r="D85" s="35"/>
    </row>
    <row r="87" spans="4:4" x14ac:dyDescent="0.25">
      <c r="D87" s="35"/>
    </row>
    <row r="89" spans="4:4" x14ac:dyDescent="0.25">
      <c r="D89" s="35"/>
    </row>
    <row r="91" spans="4:4" x14ac:dyDescent="0.25">
      <c r="D91" s="35"/>
    </row>
    <row r="93" spans="4:4" x14ac:dyDescent="0.25">
      <c r="D93" s="35"/>
    </row>
    <row r="95" spans="4:4" x14ac:dyDescent="0.25">
      <c r="D95" s="35"/>
    </row>
    <row r="97" spans="4:4" x14ac:dyDescent="0.25">
      <c r="D97" s="35"/>
    </row>
    <row r="99" spans="4:4" x14ac:dyDescent="0.25">
      <c r="D99" s="35"/>
    </row>
    <row r="101" spans="4:4" x14ac:dyDescent="0.25">
      <c r="D101" s="35"/>
    </row>
    <row r="103" spans="4:4" x14ac:dyDescent="0.25">
      <c r="D103" s="35"/>
    </row>
    <row r="105" spans="4:4" x14ac:dyDescent="0.25">
      <c r="D105" s="35"/>
    </row>
    <row r="107" spans="4:4" x14ac:dyDescent="0.25">
      <c r="D107" s="35"/>
    </row>
    <row r="109" spans="4:4" x14ac:dyDescent="0.25">
      <c r="D109" s="35"/>
    </row>
    <row r="111" spans="4:4" x14ac:dyDescent="0.25">
      <c r="D111" s="35"/>
    </row>
    <row r="113" spans="4:4" x14ac:dyDescent="0.25">
      <c r="D113" s="35"/>
    </row>
    <row r="115" spans="4:4" x14ac:dyDescent="0.25">
      <c r="D115" s="35"/>
    </row>
    <row r="117" spans="4:4" x14ac:dyDescent="0.25">
      <c r="D117" s="35"/>
    </row>
    <row r="119" spans="4:4" x14ac:dyDescent="0.25">
      <c r="D119" s="35"/>
    </row>
    <row r="121" spans="4:4" x14ac:dyDescent="0.25">
      <c r="D121" s="35"/>
    </row>
    <row r="123" spans="4:4" x14ac:dyDescent="0.25">
      <c r="D123" s="35"/>
    </row>
    <row r="125" spans="4:4" x14ac:dyDescent="0.25">
      <c r="D125" s="35"/>
    </row>
    <row r="127" spans="4:4" x14ac:dyDescent="0.25">
      <c r="D127" s="35"/>
    </row>
    <row r="129" spans="4:4" x14ac:dyDescent="0.25">
      <c r="D129" s="35"/>
    </row>
    <row r="131" spans="4:4" x14ac:dyDescent="0.25">
      <c r="D131" s="35"/>
    </row>
    <row r="133" spans="4:4" x14ac:dyDescent="0.25">
      <c r="D133" s="35"/>
    </row>
    <row r="135" spans="4:4" x14ac:dyDescent="0.25">
      <c r="D135" s="35"/>
    </row>
    <row r="137" spans="4:4" x14ac:dyDescent="0.25">
      <c r="D137" s="35"/>
    </row>
    <row r="139" spans="4:4" x14ac:dyDescent="0.25">
      <c r="D139" s="35"/>
    </row>
    <row r="141" spans="4:4" x14ac:dyDescent="0.25">
      <c r="D141" s="35"/>
    </row>
    <row r="143" spans="4:4" x14ac:dyDescent="0.25">
      <c r="D143" s="35"/>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24</vt:i4>
      </vt:variant>
    </vt:vector>
  </HeadingPairs>
  <TitlesOfParts>
    <vt:vector size="24" baseType="lpstr">
      <vt:lpstr>Listing</vt:lpstr>
      <vt:lpstr>WM</vt:lpstr>
      <vt:lpstr>WM graph</vt:lpstr>
      <vt:lpstr>WM Single</vt:lpstr>
      <vt:lpstr>WM Single graph</vt:lpstr>
      <vt:lpstr>e-LTM</vt:lpstr>
      <vt:lpstr>e-LTM graph</vt:lpstr>
      <vt:lpstr>e-LTM Single</vt:lpstr>
      <vt:lpstr>e-LTM Single graph</vt:lpstr>
      <vt:lpstr>e-LTM Multiple</vt:lpstr>
      <vt:lpstr>e-LTM Multiple graph</vt:lpstr>
      <vt:lpstr>t-LTM</vt:lpstr>
      <vt:lpstr>t-LTM graph</vt:lpstr>
      <vt:lpstr>t-LTM Single</vt:lpstr>
      <vt:lpstr>t-LTM Single graph</vt:lpstr>
      <vt:lpstr>LLM</vt:lpstr>
      <vt:lpstr>LLM graph</vt:lpstr>
      <vt:lpstr>LLM Single</vt:lpstr>
      <vt:lpstr>LLM Single graph</vt:lpstr>
      <vt:lpstr>LLM Multiple</vt:lpstr>
      <vt:lpstr>LLM Multiple graph</vt:lpstr>
      <vt:lpstr>Bars</vt:lpstr>
      <vt:lpstr>Bars Single</vt:lpstr>
      <vt:lpstr>Bars Multiple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Gabriel Radvansky</dc:creator>
  <cp:lastModifiedBy>Gabriel Radvansky</cp:lastModifiedBy>
  <dcterms:created xsi:type="dcterms:W3CDTF">2020-03-23T15:12:30Z</dcterms:created>
  <dcterms:modified xsi:type="dcterms:W3CDTF">2020-09-04T12:52:45Z</dcterms:modified>
</cp:coreProperties>
</file>