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G:\My Drive\Active Work\Manuscripts\A New Look\Supplements\"/>
    </mc:Choice>
  </mc:AlternateContent>
  <xr:revisionPtr revIDLastSave="0" documentId="13_ncr:1_{F0D67E83-AD8C-4DA6-B7A1-072F30646B0F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Listing" sheetId="1" r:id="rId1"/>
    <sheet name="Data" sheetId="4" r:id="rId2"/>
    <sheet name="Trimmed Studies" sheetId="5" r:id="rId3"/>
    <sheet name="TrimmedData" sheetId="6" r:id="rId4"/>
  </sheets>
  <definedNames>
    <definedName name="solver_adj" localSheetId="0">Listing!#REF!</definedName>
    <definedName name="solver_opt" localSheetId="0">Listing!#REF!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7" i="5" l="1"/>
  <c r="AG86" i="5"/>
  <c r="AF87" i="5"/>
  <c r="AF86" i="5"/>
  <c r="AE87" i="5"/>
  <c r="AD87" i="5"/>
  <c r="AC87" i="5"/>
  <c r="AC86" i="5"/>
  <c r="Y87" i="5"/>
  <c r="Y86" i="5"/>
  <c r="AG85" i="5"/>
  <c r="AG84" i="5"/>
  <c r="AF85" i="5"/>
  <c r="AF84" i="5"/>
  <c r="AC85" i="5"/>
  <c r="AC84" i="5"/>
  <c r="Y85" i="5"/>
  <c r="Y84" i="5"/>
  <c r="AG83" i="5"/>
  <c r="AG82" i="5"/>
  <c r="AF83" i="5"/>
  <c r="AF82" i="5"/>
  <c r="AC83" i="5"/>
  <c r="AC82" i="5"/>
  <c r="Y83" i="5"/>
  <c r="Y82" i="5"/>
  <c r="AG81" i="5"/>
  <c r="AF81" i="5"/>
  <c r="AC81" i="5"/>
  <c r="Y81" i="5"/>
  <c r="AG80" i="5"/>
  <c r="AF80" i="5"/>
  <c r="AC80" i="5"/>
  <c r="Y80" i="5"/>
  <c r="AG79" i="5"/>
  <c r="AF79" i="5"/>
  <c r="AG77" i="5"/>
  <c r="AF78" i="5"/>
  <c r="AC78" i="5"/>
  <c r="Y78" i="5"/>
  <c r="AF77" i="5" l="1"/>
  <c r="AC77" i="5"/>
  <c r="Y77" i="5"/>
  <c r="AG76" i="5"/>
  <c r="AF76" i="5"/>
  <c r="AG75" i="5"/>
  <c r="AF75" i="5"/>
  <c r="AG74" i="5"/>
  <c r="AF74" i="5"/>
  <c r="AC74" i="5"/>
  <c r="Y74" i="5"/>
  <c r="AG73" i="5"/>
  <c r="AF73" i="5"/>
  <c r="AC73" i="5"/>
  <c r="Y73" i="5"/>
  <c r="AG72" i="5"/>
  <c r="AG71" i="5"/>
  <c r="AG70" i="5"/>
  <c r="AF72" i="5"/>
  <c r="AF71" i="5"/>
  <c r="AF70" i="5"/>
  <c r="AG69" i="5"/>
  <c r="AG68" i="5"/>
  <c r="AF69" i="5"/>
  <c r="AF68" i="5"/>
  <c r="AC69" i="5"/>
  <c r="AC68" i="5"/>
  <c r="Y69" i="5"/>
  <c r="Y68" i="5"/>
  <c r="AG67" i="5" l="1"/>
  <c r="AF67" i="5"/>
  <c r="Y67" i="5"/>
  <c r="AG66" i="5"/>
  <c r="AG65" i="5"/>
  <c r="AF66" i="5"/>
  <c r="AF65" i="5"/>
  <c r="AC66" i="5"/>
  <c r="AC65" i="5"/>
  <c r="Y66" i="5"/>
  <c r="Y65" i="5"/>
  <c r="AG64" i="5"/>
  <c r="AG63" i="5"/>
  <c r="AF64" i="5"/>
  <c r="AF63" i="5"/>
  <c r="AC64" i="5"/>
  <c r="AC63" i="5"/>
  <c r="Y64" i="5"/>
  <c r="Y63" i="5"/>
  <c r="AG62" i="5"/>
  <c r="AF62" i="5"/>
  <c r="AC62" i="5"/>
  <c r="Y62" i="5"/>
  <c r="AG61" i="5"/>
  <c r="AG60" i="5"/>
  <c r="AF61" i="5"/>
  <c r="AF60" i="5"/>
  <c r="AG59" i="5"/>
  <c r="AF59" i="5"/>
  <c r="AC59" i="5"/>
  <c r="Y59" i="5"/>
  <c r="AG58" i="5"/>
  <c r="AG57" i="5"/>
  <c r="AF58" i="5"/>
  <c r="AF57" i="5"/>
  <c r="AC58" i="5"/>
  <c r="AC57" i="5"/>
  <c r="Y58" i="5"/>
  <c r="Y57" i="5"/>
  <c r="AG56" i="5"/>
  <c r="AG55" i="5"/>
  <c r="AF56" i="5"/>
  <c r="AF55" i="5"/>
  <c r="AC56" i="5"/>
  <c r="AC55" i="5"/>
  <c r="Y56" i="5"/>
  <c r="Y55" i="5"/>
  <c r="AG54" i="5"/>
  <c r="AG53" i="5"/>
  <c r="AG52" i="5"/>
  <c r="AF54" i="5"/>
  <c r="AF53" i="5"/>
  <c r="AF52" i="5"/>
  <c r="AC54" i="5"/>
  <c r="AD54" i="5" s="1"/>
  <c r="AC53" i="5"/>
  <c r="AD53" i="5" s="1"/>
  <c r="AC52" i="5"/>
  <c r="Y54" i="5"/>
  <c r="Y53" i="5"/>
  <c r="Y52" i="5"/>
  <c r="Y48" i="5" l="1"/>
  <c r="Y47" i="5"/>
  <c r="Y46" i="5"/>
  <c r="AG45" i="5"/>
  <c r="AG44" i="5"/>
  <c r="AF45" i="5"/>
  <c r="AF44" i="5"/>
  <c r="AC45" i="5"/>
  <c r="AC44" i="5"/>
  <c r="Y45" i="5"/>
  <c r="Y44" i="5"/>
  <c r="AG43" i="5"/>
  <c r="AG42" i="5"/>
  <c r="AG41" i="5"/>
  <c r="AF43" i="5"/>
  <c r="AF42" i="5"/>
  <c r="AF41" i="5"/>
  <c r="AC43" i="5"/>
  <c r="AD43" i="5" s="1"/>
  <c r="AC42" i="5"/>
  <c r="AD42" i="5" s="1"/>
  <c r="AC41" i="5"/>
  <c r="AD41" i="5" s="1"/>
  <c r="Y43" i="5"/>
  <c r="AE43" i="5" s="1"/>
  <c r="Y42" i="5"/>
  <c r="AE42" i="5" s="1"/>
  <c r="Y41" i="5"/>
  <c r="AE41" i="5" s="1"/>
  <c r="AG36" i="5"/>
  <c r="AG35" i="5"/>
  <c r="AF36" i="5"/>
  <c r="AF35" i="5"/>
  <c r="AC36" i="5"/>
  <c r="AC35" i="5"/>
  <c r="Y36" i="5"/>
  <c r="Y35" i="5"/>
  <c r="AG34" i="5"/>
  <c r="AG33" i="5"/>
  <c r="AG32" i="5"/>
  <c r="AG31" i="5"/>
  <c r="AG30" i="5"/>
  <c r="AF34" i="5"/>
  <c r="AF33" i="5"/>
  <c r="AF32" i="5"/>
  <c r="AC34" i="5"/>
  <c r="AD34" i="5" s="1"/>
  <c r="AC33" i="5"/>
  <c r="AD33" i="5" s="1"/>
  <c r="AC32" i="5"/>
  <c r="AD32" i="5" s="1"/>
  <c r="AC31" i="5"/>
  <c r="AC30" i="5"/>
  <c r="Y34" i="5"/>
  <c r="AE34" i="5" s="1"/>
  <c r="Y33" i="5"/>
  <c r="AE33" i="5" s="1"/>
  <c r="Y32" i="5"/>
  <c r="AE32" i="5" s="1"/>
  <c r="Y31" i="5"/>
  <c r="AE31" i="5" s="1"/>
  <c r="Y30" i="5"/>
  <c r="AG29" i="5"/>
  <c r="AF29" i="5"/>
  <c r="AC29" i="5"/>
  <c r="Y29" i="5"/>
  <c r="AG28" i="5"/>
  <c r="AG27" i="5"/>
  <c r="AG26" i="5"/>
  <c r="AG25" i="5"/>
  <c r="AF28" i="5"/>
  <c r="AF27" i="5"/>
  <c r="AF26" i="5"/>
  <c r="AF25" i="5"/>
  <c r="AG24" i="5"/>
  <c r="AF24" i="5"/>
  <c r="AC24" i="5"/>
  <c r="Y24" i="5"/>
  <c r="AG23" i="5"/>
  <c r="AG22" i="5"/>
  <c r="AG21" i="5"/>
  <c r="AF23" i="5"/>
  <c r="AF22" i="5"/>
  <c r="AF21" i="5"/>
  <c r="AF20" i="5"/>
  <c r="AF19" i="5"/>
  <c r="AF18" i="5"/>
  <c r="AF17" i="5"/>
  <c r="AF16" i="5"/>
  <c r="AC23" i="5"/>
  <c r="AC22" i="5"/>
  <c r="AC21" i="5"/>
  <c r="AC20" i="5"/>
  <c r="AC19" i="5"/>
  <c r="AC18" i="5"/>
  <c r="AC17" i="5"/>
  <c r="AC16" i="5"/>
  <c r="Y23" i="5"/>
  <c r="Y22" i="5"/>
  <c r="Y21" i="5"/>
  <c r="Y20" i="5"/>
  <c r="Y19" i="5"/>
  <c r="Y18" i="5"/>
  <c r="Y17" i="5"/>
  <c r="Y16" i="5"/>
  <c r="AG15" i="5"/>
  <c r="AF15" i="5"/>
  <c r="AC15" i="5"/>
  <c r="Y15" i="5"/>
  <c r="AG14" i="5"/>
  <c r="AF14" i="5"/>
  <c r="AG13" i="5"/>
  <c r="AF13" i="5"/>
  <c r="AF12" i="5"/>
  <c r="Y13" i="5"/>
  <c r="Y12" i="5"/>
  <c r="AG11" i="5"/>
  <c r="AF11" i="5"/>
  <c r="AC11" i="5"/>
  <c r="Y11" i="5"/>
  <c r="AG10" i="5"/>
  <c r="AF10" i="5"/>
  <c r="Y10" i="5"/>
  <c r="AG9" i="5" l="1"/>
  <c r="AG8" i="5"/>
  <c r="AF9" i="5"/>
  <c r="AF8" i="5"/>
  <c r="Y8" i="5"/>
  <c r="AE8" i="5" s="1"/>
  <c r="Y9" i="5"/>
  <c r="AE9" i="5" s="1"/>
  <c r="AG7" i="5"/>
  <c r="AF7" i="5"/>
  <c r="AC7" i="5"/>
  <c r="AD7" i="5" s="1"/>
  <c r="Y7" i="5"/>
  <c r="AG6" i="5"/>
  <c r="AG5" i="5"/>
  <c r="AG4" i="5"/>
  <c r="AF6" i="5"/>
  <c r="AF5" i="5"/>
  <c r="AF4" i="5"/>
  <c r="Y5" i="5"/>
  <c r="Y4" i="5"/>
  <c r="AE4" i="5" s="1"/>
  <c r="AG3" i="5"/>
  <c r="AF3" i="5"/>
  <c r="Y3" i="5"/>
  <c r="AE3" i="5" s="1"/>
  <c r="I179" i="6"/>
  <c r="J179" i="6"/>
  <c r="K179" i="6"/>
  <c r="I181" i="6"/>
  <c r="J181" i="6"/>
  <c r="K181" i="6"/>
  <c r="I336" i="4"/>
  <c r="J336" i="4"/>
  <c r="K336" i="4"/>
  <c r="L336" i="4"/>
  <c r="M336" i="4"/>
  <c r="N336" i="4"/>
  <c r="O336" i="4"/>
  <c r="I338" i="4"/>
  <c r="J338" i="4"/>
  <c r="K338" i="4"/>
  <c r="L338" i="4"/>
  <c r="M338" i="4"/>
  <c r="N338" i="4"/>
  <c r="O338" i="4"/>
  <c r="I60" i="6"/>
  <c r="J60" i="6"/>
  <c r="K60" i="6"/>
  <c r="L60" i="6"/>
  <c r="M60" i="6"/>
  <c r="I62" i="6"/>
  <c r="J62" i="6"/>
  <c r="K62" i="6"/>
  <c r="L62" i="6"/>
  <c r="M62" i="6"/>
  <c r="I64" i="6"/>
  <c r="J64" i="6"/>
  <c r="K64" i="6"/>
  <c r="L64" i="6"/>
  <c r="M64" i="6"/>
  <c r="AG51" i="5"/>
  <c r="AG50" i="5"/>
  <c r="AF51" i="5"/>
  <c r="AF50" i="5"/>
  <c r="Y51" i="5"/>
  <c r="Y50" i="5"/>
  <c r="AC51" i="5"/>
  <c r="AD51" i="5" s="1"/>
  <c r="AC50" i="5"/>
  <c r="AD50" i="5" s="1"/>
  <c r="AD86" i="5"/>
  <c r="AD83" i="5"/>
  <c r="AD82" i="5"/>
  <c r="AG78" i="5"/>
  <c r="AD74" i="5"/>
  <c r="AE74" i="5"/>
  <c r="AD73" i="5"/>
  <c r="AD68" i="5"/>
  <c r="AD66" i="5"/>
  <c r="AD64" i="5"/>
  <c r="AD63" i="5"/>
  <c r="AD59" i="5"/>
  <c r="AD58" i="5"/>
  <c r="AD57" i="5"/>
  <c r="AD56" i="5"/>
  <c r="AD55" i="5"/>
  <c r="AD52" i="5"/>
  <c r="AD45" i="5"/>
  <c r="AE45" i="5"/>
  <c r="AE44" i="5"/>
  <c r="AG40" i="5"/>
  <c r="AF40" i="5"/>
  <c r="AC40" i="5"/>
  <c r="AD40" i="5" s="1"/>
  <c r="Y40" i="5"/>
  <c r="AE40" i="5" s="1"/>
  <c r="AG39" i="5"/>
  <c r="AF39" i="5"/>
  <c r="AC39" i="5"/>
  <c r="AD39" i="5" s="1"/>
  <c r="Y39" i="5"/>
  <c r="AE39" i="5" s="1"/>
  <c r="AG38" i="5"/>
  <c r="AF38" i="5"/>
  <c r="AC38" i="5"/>
  <c r="AD38" i="5" s="1"/>
  <c r="Y38" i="5"/>
  <c r="AE38" i="5" s="1"/>
  <c r="AG37" i="5"/>
  <c r="AF37" i="5"/>
  <c r="AC37" i="5"/>
  <c r="AD37" i="5" s="1"/>
  <c r="Y37" i="5"/>
  <c r="AE37" i="5" s="1"/>
  <c r="AE36" i="5"/>
  <c r="AE35" i="5"/>
  <c r="AF31" i="5"/>
  <c r="AF30" i="5"/>
  <c r="AD29" i="5"/>
  <c r="AD24" i="5"/>
  <c r="AE24" i="5"/>
  <c r="AG20" i="5"/>
  <c r="AD23" i="5"/>
  <c r="AE23" i="5"/>
  <c r="AG19" i="5"/>
  <c r="AD22" i="5"/>
  <c r="AE22" i="5"/>
  <c r="AG18" i="5"/>
  <c r="AD21" i="5"/>
  <c r="AE21" i="5"/>
  <c r="AG17" i="5"/>
  <c r="AD20" i="5"/>
  <c r="AE20" i="5"/>
  <c r="AG16" i="5"/>
  <c r="AD19" i="5"/>
  <c r="AE19" i="5"/>
  <c r="AE18" i="5"/>
  <c r="AE15" i="5"/>
  <c r="AG12" i="5"/>
  <c r="AE10" i="5"/>
  <c r="AE7" i="5"/>
  <c r="Y6" i="5"/>
  <c r="AD69" i="5"/>
  <c r="M177" i="6"/>
  <c r="L177" i="6"/>
  <c r="K177" i="6"/>
  <c r="J177" i="6"/>
  <c r="I177" i="6"/>
  <c r="AF48" i="5" s="1"/>
  <c r="M176" i="6"/>
  <c r="L176" i="6"/>
  <c r="K176" i="6"/>
  <c r="J176" i="6"/>
  <c r="M175" i="6"/>
  <c r="L175" i="6"/>
  <c r="K175" i="6"/>
  <c r="J175" i="6"/>
  <c r="I175" i="6"/>
  <c r="AF47" i="5" s="1"/>
  <c r="M174" i="6"/>
  <c r="L174" i="6"/>
  <c r="K174" i="6"/>
  <c r="J174" i="6"/>
  <c r="O173" i="6"/>
  <c r="N173" i="6"/>
  <c r="M173" i="6"/>
  <c r="L173" i="6"/>
  <c r="K173" i="6"/>
  <c r="J173" i="6"/>
  <c r="I173" i="6"/>
  <c r="AF46" i="5" s="1"/>
  <c r="O172" i="6"/>
  <c r="N172" i="6"/>
  <c r="M172" i="6"/>
  <c r="L172" i="6"/>
  <c r="K172" i="6"/>
  <c r="J172" i="6"/>
  <c r="AE30" i="5"/>
  <c r="M120" i="6"/>
  <c r="L120" i="6"/>
  <c r="K120" i="6"/>
  <c r="J120" i="6"/>
  <c r="I120" i="6"/>
  <c r="N116" i="6"/>
  <c r="M116" i="6"/>
  <c r="L116" i="6"/>
  <c r="K116" i="6"/>
  <c r="J116" i="6"/>
  <c r="I116" i="6"/>
  <c r="N114" i="6"/>
  <c r="M114" i="6"/>
  <c r="L114" i="6"/>
  <c r="K114" i="6"/>
  <c r="J114" i="6"/>
  <c r="I114" i="6"/>
  <c r="N112" i="6"/>
  <c r="M112" i="6"/>
  <c r="L112" i="6"/>
  <c r="K112" i="6"/>
  <c r="J112" i="6"/>
  <c r="I112" i="6"/>
  <c r="N110" i="6"/>
  <c r="M110" i="6"/>
  <c r="L110" i="6"/>
  <c r="K110" i="6"/>
  <c r="J110" i="6"/>
  <c r="I110" i="6"/>
  <c r="AE16" i="5"/>
  <c r="M86" i="6"/>
  <c r="L86" i="6"/>
  <c r="K86" i="6"/>
  <c r="J86" i="6"/>
  <c r="I86" i="6"/>
  <c r="M84" i="6"/>
  <c r="L84" i="6"/>
  <c r="K84" i="6"/>
  <c r="J84" i="6"/>
  <c r="M82" i="6"/>
  <c r="L82" i="6"/>
  <c r="K82" i="6"/>
  <c r="J82" i="6"/>
  <c r="M80" i="6"/>
  <c r="L80" i="6"/>
  <c r="K80" i="6"/>
  <c r="J80" i="6"/>
  <c r="I80" i="6"/>
  <c r="M76" i="6"/>
  <c r="L76" i="6"/>
  <c r="K76" i="6"/>
  <c r="J76" i="6"/>
  <c r="I76" i="6"/>
  <c r="M72" i="6"/>
  <c r="L72" i="6"/>
  <c r="K72" i="6"/>
  <c r="J72" i="6"/>
  <c r="M68" i="6"/>
  <c r="L68" i="6"/>
  <c r="K68" i="6"/>
  <c r="J68" i="6"/>
  <c r="M66" i="6"/>
  <c r="L66" i="6"/>
  <c r="K66" i="6"/>
  <c r="J66" i="6"/>
  <c r="N52" i="6"/>
  <c r="M52" i="6"/>
  <c r="L52" i="6"/>
  <c r="K52" i="6"/>
  <c r="J52" i="6"/>
  <c r="I52" i="6"/>
  <c r="O50" i="6"/>
  <c r="N50" i="6"/>
  <c r="M50" i="6"/>
  <c r="L50" i="6"/>
  <c r="K50" i="6"/>
  <c r="J50" i="6"/>
  <c r="O48" i="6"/>
  <c r="N48" i="6"/>
  <c r="M48" i="6"/>
  <c r="L48" i="6"/>
  <c r="K48" i="6"/>
  <c r="J48" i="6"/>
  <c r="O46" i="6"/>
  <c r="N46" i="6"/>
  <c r="M46" i="6"/>
  <c r="L46" i="6"/>
  <c r="K46" i="6"/>
  <c r="J46" i="6"/>
  <c r="J44" i="6"/>
  <c r="K42" i="6"/>
  <c r="J42" i="6"/>
  <c r="I42" i="6"/>
  <c r="M30" i="6"/>
  <c r="L30" i="6"/>
  <c r="K30" i="6"/>
  <c r="J30" i="6"/>
  <c r="I30" i="6"/>
  <c r="M28" i="6"/>
  <c r="L28" i="6"/>
  <c r="K28" i="6"/>
  <c r="J28" i="6"/>
  <c r="I28" i="6"/>
  <c r="P18" i="6"/>
  <c r="Q18" i="6" s="1"/>
  <c r="R18" i="6" s="1"/>
  <c r="O18" i="6"/>
  <c r="N18" i="6"/>
  <c r="M18" i="6"/>
  <c r="L18" i="6"/>
  <c r="K18" i="6"/>
  <c r="J18" i="6"/>
  <c r="I18" i="6"/>
  <c r="P16" i="6"/>
  <c r="Q16" i="6" s="1"/>
  <c r="R16" i="6" s="1"/>
  <c r="O16" i="6"/>
  <c r="N16" i="6"/>
  <c r="M16" i="6"/>
  <c r="L16" i="6"/>
  <c r="K16" i="6"/>
  <c r="J16" i="6"/>
  <c r="I16" i="6"/>
  <c r="AA87" i="5"/>
  <c r="AB87" i="5" s="1"/>
  <c r="W87" i="5"/>
  <c r="U87" i="5"/>
  <c r="R87" i="5"/>
  <c r="L87" i="5"/>
  <c r="K87" i="5"/>
  <c r="AA86" i="5"/>
  <c r="W86" i="5"/>
  <c r="U86" i="5"/>
  <c r="R86" i="5"/>
  <c r="L86" i="5"/>
  <c r="K86" i="5"/>
  <c r="AA85" i="5"/>
  <c r="AB85" i="5" s="1"/>
  <c r="W85" i="5"/>
  <c r="U85" i="5"/>
  <c r="R85" i="5"/>
  <c r="L85" i="5"/>
  <c r="K85" i="5"/>
  <c r="AA84" i="5"/>
  <c r="AB84" i="5" s="1"/>
  <c r="W84" i="5"/>
  <c r="U84" i="5"/>
  <c r="R84" i="5"/>
  <c r="L84" i="5"/>
  <c r="K84" i="5"/>
  <c r="AA83" i="5"/>
  <c r="AB83" i="5" s="1"/>
  <c r="W83" i="5"/>
  <c r="U83" i="5"/>
  <c r="R83" i="5"/>
  <c r="L83" i="5"/>
  <c r="K83" i="5"/>
  <c r="AA82" i="5"/>
  <c r="W82" i="5"/>
  <c r="U82" i="5"/>
  <c r="R82" i="5"/>
  <c r="L82" i="5"/>
  <c r="K82" i="5"/>
  <c r="AA81" i="5"/>
  <c r="AB81" i="5" s="1"/>
  <c r="W81" i="5"/>
  <c r="U81" i="5"/>
  <c r="R81" i="5"/>
  <c r="L81" i="5"/>
  <c r="K81" i="5"/>
  <c r="AA80" i="5"/>
  <c r="AB80" i="5" s="1"/>
  <c r="W80" i="5"/>
  <c r="U80" i="5"/>
  <c r="R80" i="5"/>
  <c r="L80" i="5"/>
  <c r="K80" i="5"/>
  <c r="AA79" i="5"/>
  <c r="AB79" i="5" s="1"/>
  <c r="W79" i="5"/>
  <c r="U79" i="5"/>
  <c r="R79" i="5"/>
  <c r="L79" i="5"/>
  <c r="K79" i="5"/>
  <c r="AA78" i="5"/>
  <c r="W78" i="5"/>
  <c r="U78" i="5"/>
  <c r="R78" i="5"/>
  <c r="L78" i="5"/>
  <c r="K78" i="5"/>
  <c r="AA77" i="5"/>
  <c r="AB77" i="5" s="1"/>
  <c r="W77" i="5"/>
  <c r="U77" i="5"/>
  <c r="R77" i="5"/>
  <c r="L77" i="5"/>
  <c r="K77" i="5"/>
  <c r="AB76" i="5"/>
  <c r="W76" i="5"/>
  <c r="U76" i="5"/>
  <c r="R76" i="5"/>
  <c r="L76" i="5"/>
  <c r="K76" i="5"/>
  <c r="AB75" i="5"/>
  <c r="W75" i="5"/>
  <c r="U75" i="5"/>
  <c r="R75" i="5"/>
  <c r="L75" i="5"/>
  <c r="K75" i="5"/>
  <c r="AB74" i="5"/>
  <c r="W74" i="5"/>
  <c r="U74" i="5"/>
  <c r="R74" i="5"/>
  <c r="L74" i="5"/>
  <c r="K74" i="5"/>
  <c r="AA73" i="5"/>
  <c r="AB73" i="5" s="1"/>
  <c r="W73" i="5"/>
  <c r="U73" i="5"/>
  <c r="R73" i="5"/>
  <c r="L73" i="5"/>
  <c r="K73" i="5"/>
  <c r="AB72" i="5"/>
  <c r="W72" i="5"/>
  <c r="U72" i="5"/>
  <c r="R72" i="5"/>
  <c r="L72" i="5"/>
  <c r="K72" i="5"/>
  <c r="AB71" i="5"/>
  <c r="W71" i="5"/>
  <c r="U71" i="5"/>
  <c r="R71" i="5"/>
  <c r="L71" i="5"/>
  <c r="K71" i="5"/>
  <c r="AB70" i="5"/>
  <c r="W70" i="5"/>
  <c r="U70" i="5"/>
  <c r="R70" i="5"/>
  <c r="L70" i="5"/>
  <c r="K70" i="5"/>
  <c r="AA69" i="5"/>
  <c r="AB69" i="5" s="1"/>
  <c r="W69" i="5"/>
  <c r="U69" i="5"/>
  <c r="R69" i="5"/>
  <c r="L69" i="5"/>
  <c r="K69" i="5"/>
  <c r="AA68" i="5"/>
  <c r="AB68" i="5" s="1"/>
  <c r="W68" i="5"/>
  <c r="U68" i="5"/>
  <c r="R68" i="5"/>
  <c r="L68" i="5"/>
  <c r="K68" i="5"/>
  <c r="AA67" i="5"/>
  <c r="W67" i="5"/>
  <c r="U67" i="5"/>
  <c r="R67" i="5"/>
  <c r="L67" i="5"/>
  <c r="K67" i="5"/>
  <c r="AA66" i="5"/>
  <c r="AB66" i="5" s="1"/>
  <c r="W66" i="5"/>
  <c r="U66" i="5"/>
  <c r="R66" i="5"/>
  <c r="L66" i="5"/>
  <c r="K66" i="5"/>
  <c r="AA65" i="5"/>
  <c r="W65" i="5"/>
  <c r="U65" i="5"/>
  <c r="R65" i="5"/>
  <c r="L65" i="5"/>
  <c r="K65" i="5"/>
  <c r="AA64" i="5"/>
  <c r="AB64" i="5" s="1"/>
  <c r="W64" i="5"/>
  <c r="U64" i="5"/>
  <c r="R64" i="5"/>
  <c r="L64" i="5"/>
  <c r="K64" i="5"/>
  <c r="AA63" i="5"/>
  <c r="W63" i="5"/>
  <c r="U63" i="5"/>
  <c r="R63" i="5"/>
  <c r="L63" i="5"/>
  <c r="K63" i="5"/>
  <c r="AA62" i="5"/>
  <c r="AB62" i="5" s="1"/>
  <c r="W62" i="5"/>
  <c r="U62" i="5"/>
  <c r="R62" i="5"/>
  <c r="L62" i="5"/>
  <c r="K62" i="5"/>
  <c r="AA61" i="5"/>
  <c r="AB61" i="5" s="1"/>
  <c r="W61" i="5"/>
  <c r="U61" i="5"/>
  <c r="R61" i="5"/>
  <c r="L61" i="5"/>
  <c r="K61" i="5"/>
  <c r="AA60" i="5"/>
  <c r="AB60" i="5" s="1"/>
  <c r="W60" i="5"/>
  <c r="U60" i="5"/>
  <c r="R60" i="5"/>
  <c r="L60" i="5"/>
  <c r="K60" i="5"/>
  <c r="AA59" i="5"/>
  <c r="W59" i="5"/>
  <c r="U59" i="5"/>
  <c r="R59" i="5"/>
  <c r="L59" i="5"/>
  <c r="K59" i="5"/>
  <c r="AA58" i="5"/>
  <c r="AB58" i="5" s="1"/>
  <c r="W58" i="5"/>
  <c r="U58" i="5"/>
  <c r="R58" i="5"/>
  <c r="L58" i="5"/>
  <c r="K58" i="5"/>
  <c r="AA57" i="5"/>
  <c r="AB57" i="5" s="1"/>
  <c r="W57" i="5"/>
  <c r="U57" i="5"/>
  <c r="R57" i="5"/>
  <c r="L57" i="5"/>
  <c r="K57" i="5"/>
  <c r="AA56" i="5"/>
  <c r="AB56" i="5" s="1"/>
  <c r="W56" i="5"/>
  <c r="U56" i="5"/>
  <c r="R56" i="5"/>
  <c r="L56" i="5"/>
  <c r="K56" i="5"/>
  <c r="AA55" i="5"/>
  <c r="W55" i="5"/>
  <c r="U55" i="5"/>
  <c r="R55" i="5"/>
  <c r="L55" i="5"/>
  <c r="K55" i="5"/>
  <c r="AA54" i="5"/>
  <c r="W54" i="5"/>
  <c r="U54" i="5"/>
  <c r="R54" i="5"/>
  <c r="L54" i="5"/>
  <c r="K54" i="5"/>
  <c r="AA53" i="5"/>
  <c r="W53" i="5"/>
  <c r="U53" i="5"/>
  <c r="R53" i="5"/>
  <c r="L53" i="5"/>
  <c r="K53" i="5"/>
  <c r="AA52" i="5"/>
  <c r="AB52" i="5" s="1"/>
  <c r="W52" i="5"/>
  <c r="U52" i="5"/>
  <c r="R52" i="5"/>
  <c r="L52" i="5"/>
  <c r="K52" i="5"/>
  <c r="AA51" i="5"/>
  <c r="W51" i="5"/>
  <c r="U51" i="5"/>
  <c r="R51" i="5"/>
  <c r="L51" i="5"/>
  <c r="K51" i="5"/>
  <c r="AA50" i="5"/>
  <c r="AB50" i="5" s="1"/>
  <c r="W50" i="5"/>
  <c r="U50" i="5"/>
  <c r="R50" i="5"/>
  <c r="L50" i="5"/>
  <c r="K50" i="5"/>
  <c r="AA48" i="5"/>
  <c r="AB48" i="5" s="1"/>
  <c r="W48" i="5"/>
  <c r="U48" i="5"/>
  <c r="R48" i="5"/>
  <c r="L48" i="5"/>
  <c r="K48" i="5"/>
  <c r="AA47" i="5"/>
  <c r="AB47" i="5" s="1"/>
  <c r="W47" i="5"/>
  <c r="U47" i="5"/>
  <c r="R47" i="5"/>
  <c r="L47" i="5"/>
  <c r="K47" i="5"/>
  <c r="AA46" i="5"/>
  <c r="W46" i="5"/>
  <c r="U46" i="5"/>
  <c r="R46" i="5"/>
  <c r="L46" i="5"/>
  <c r="K46" i="5"/>
  <c r="AB45" i="5"/>
  <c r="W45" i="5"/>
  <c r="U45" i="5"/>
  <c r="R45" i="5"/>
  <c r="L45" i="5"/>
  <c r="K45" i="5"/>
  <c r="AB44" i="5"/>
  <c r="W44" i="5"/>
  <c r="U44" i="5"/>
  <c r="R44" i="5"/>
  <c r="L44" i="5"/>
  <c r="K44" i="5"/>
  <c r="AB43" i="5"/>
  <c r="W43" i="5"/>
  <c r="U43" i="5"/>
  <c r="R43" i="5"/>
  <c r="L43" i="5"/>
  <c r="K43" i="5"/>
  <c r="AB42" i="5"/>
  <c r="W42" i="5"/>
  <c r="U42" i="5"/>
  <c r="R42" i="5"/>
  <c r="L42" i="5"/>
  <c r="K42" i="5"/>
  <c r="AB41" i="5"/>
  <c r="W41" i="5"/>
  <c r="U41" i="5"/>
  <c r="R41" i="5"/>
  <c r="L41" i="5"/>
  <c r="K41" i="5"/>
  <c r="AB40" i="5"/>
  <c r="W40" i="5"/>
  <c r="U40" i="5"/>
  <c r="R40" i="5"/>
  <c r="L40" i="5"/>
  <c r="K40" i="5"/>
  <c r="AB39" i="5"/>
  <c r="W39" i="5"/>
  <c r="U39" i="5"/>
  <c r="R39" i="5"/>
  <c r="L39" i="5"/>
  <c r="K39" i="5"/>
  <c r="AB38" i="5"/>
  <c r="W38" i="5"/>
  <c r="U38" i="5"/>
  <c r="R38" i="5"/>
  <c r="L38" i="5"/>
  <c r="K38" i="5"/>
  <c r="AB37" i="5"/>
  <c r="W37" i="5"/>
  <c r="U37" i="5"/>
  <c r="R37" i="5"/>
  <c r="L37" i="5"/>
  <c r="K37" i="5"/>
  <c r="AB36" i="5"/>
  <c r="W36" i="5"/>
  <c r="U36" i="5"/>
  <c r="R36" i="5"/>
  <c r="L36" i="5"/>
  <c r="K36" i="5"/>
  <c r="AB35" i="5"/>
  <c r="W35" i="5"/>
  <c r="U35" i="5"/>
  <c r="R35" i="5"/>
  <c r="L35" i="5"/>
  <c r="K35" i="5"/>
  <c r="AB34" i="5"/>
  <c r="W34" i="5"/>
  <c r="U34" i="5"/>
  <c r="R34" i="5"/>
  <c r="L34" i="5"/>
  <c r="K34" i="5"/>
  <c r="AB33" i="5"/>
  <c r="W33" i="5"/>
  <c r="U33" i="5"/>
  <c r="R33" i="5"/>
  <c r="L33" i="5"/>
  <c r="K33" i="5"/>
  <c r="AB32" i="5"/>
  <c r="W32" i="5"/>
  <c r="U32" i="5"/>
  <c r="R32" i="5"/>
  <c r="L32" i="5"/>
  <c r="K32" i="5"/>
  <c r="AB31" i="5"/>
  <c r="W31" i="5"/>
  <c r="U31" i="5"/>
  <c r="R31" i="5"/>
  <c r="L31" i="5"/>
  <c r="K31" i="5"/>
  <c r="AB30" i="5"/>
  <c r="W30" i="5"/>
  <c r="U30" i="5"/>
  <c r="R30" i="5"/>
  <c r="L30" i="5"/>
  <c r="K30" i="5"/>
  <c r="AA29" i="5"/>
  <c r="AB29" i="5" s="1"/>
  <c r="W29" i="5"/>
  <c r="U29" i="5"/>
  <c r="R29" i="5"/>
  <c r="L29" i="5"/>
  <c r="K29" i="5"/>
  <c r="AB28" i="5"/>
  <c r="W28" i="5"/>
  <c r="U28" i="5"/>
  <c r="R28" i="5"/>
  <c r="L28" i="5"/>
  <c r="K28" i="5"/>
  <c r="AB27" i="5"/>
  <c r="W27" i="5"/>
  <c r="U27" i="5"/>
  <c r="R27" i="5"/>
  <c r="L27" i="5"/>
  <c r="K27" i="5"/>
  <c r="AB26" i="5"/>
  <c r="W26" i="5"/>
  <c r="U26" i="5"/>
  <c r="R26" i="5"/>
  <c r="L26" i="5"/>
  <c r="K26" i="5"/>
  <c r="AB25" i="5"/>
  <c r="W25" i="5"/>
  <c r="U25" i="5"/>
  <c r="R25" i="5"/>
  <c r="L25" i="5"/>
  <c r="K25" i="5"/>
  <c r="AB24" i="5"/>
  <c r="W24" i="5"/>
  <c r="U24" i="5"/>
  <c r="R24" i="5"/>
  <c r="L24" i="5"/>
  <c r="K24" i="5"/>
  <c r="AB23" i="5"/>
  <c r="W23" i="5"/>
  <c r="U23" i="5"/>
  <c r="R23" i="5"/>
  <c r="L23" i="5"/>
  <c r="K23" i="5"/>
  <c r="AB22" i="5"/>
  <c r="W22" i="5"/>
  <c r="U22" i="5"/>
  <c r="R22" i="5"/>
  <c r="L22" i="5"/>
  <c r="K22" i="5"/>
  <c r="AB21" i="5"/>
  <c r="W21" i="5"/>
  <c r="U21" i="5"/>
  <c r="R21" i="5"/>
  <c r="L21" i="5"/>
  <c r="K21" i="5"/>
  <c r="AB20" i="5"/>
  <c r="W20" i="5"/>
  <c r="U20" i="5"/>
  <c r="R20" i="5"/>
  <c r="L20" i="5"/>
  <c r="K20" i="5"/>
  <c r="AB19" i="5"/>
  <c r="W19" i="5"/>
  <c r="U19" i="5"/>
  <c r="R19" i="5"/>
  <c r="L19" i="5"/>
  <c r="K19" i="5"/>
  <c r="AB18" i="5"/>
  <c r="W18" i="5"/>
  <c r="U18" i="5"/>
  <c r="R18" i="5"/>
  <c r="L18" i="5"/>
  <c r="K18" i="5"/>
  <c r="AB17" i="5"/>
  <c r="W17" i="5"/>
  <c r="U17" i="5"/>
  <c r="R17" i="5"/>
  <c r="L17" i="5"/>
  <c r="K17" i="5"/>
  <c r="AB16" i="5"/>
  <c r="W16" i="5"/>
  <c r="U16" i="5"/>
  <c r="R16" i="5"/>
  <c r="L16" i="5"/>
  <c r="K16" i="5"/>
  <c r="AB15" i="5"/>
  <c r="W15" i="5"/>
  <c r="U15" i="5"/>
  <c r="R15" i="5"/>
  <c r="L15" i="5"/>
  <c r="K15" i="5"/>
  <c r="AA14" i="5"/>
  <c r="AB14" i="5" s="1"/>
  <c r="W14" i="5"/>
  <c r="U14" i="5"/>
  <c r="R14" i="5"/>
  <c r="L14" i="5"/>
  <c r="K14" i="5"/>
  <c r="AA13" i="5"/>
  <c r="AB13" i="5" s="1"/>
  <c r="W13" i="5"/>
  <c r="U13" i="5"/>
  <c r="R13" i="5"/>
  <c r="L13" i="5"/>
  <c r="K13" i="5"/>
  <c r="AA12" i="5"/>
  <c r="AB12" i="5" s="1"/>
  <c r="W12" i="5"/>
  <c r="U12" i="5"/>
  <c r="R12" i="5"/>
  <c r="L12" i="5"/>
  <c r="K12" i="5"/>
  <c r="AB11" i="5"/>
  <c r="W11" i="5"/>
  <c r="U11" i="5"/>
  <c r="R11" i="5"/>
  <c r="L11" i="5"/>
  <c r="K11" i="5"/>
  <c r="AB10" i="5"/>
  <c r="W10" i="5"/>
  <c r="U10" i="5"/>
  <c r="R10" i="5"/>
  <c r="L10" i="5"/>
  <c r="K10" i="5"/>
  <c r="AB9" i="5"/>
  <c r="W9" i="5"/>
  <c r="U9" i="5"/>
  <c r="R9" i="5"/>
  <c r="L9" i="5"/>
  <c r="K9" i="5"/>
  <c r="AB8" i="5"/>
  <c r="W8" i="5"/>
  <c r="U8" i="5"/>
  <c r="R8" i="5"/>
  <c r="L8" i="5"/>
  <c r="K8" i="5"/>
  <c r="AB7" i="5"/>
  <c r="W7" i="5"/>
  <c r="U7" i="5"/>
  <c r="R7" i="5"/>
  <c r="L7" i="5"/>
  <c r="K7" i="5"/>
  <c r="AB6" i="5"/>
  <c r="W6" i="5"/>
  <c r="U6" i="5"/>
  <c r="R6" i="5"/>
  <c r="L6" i="5"/>
  <c r="K6" i="5"/>
  <c r="AB5" i="5"/>
  <c r="W5" i="5"/>
  <c r="U5" i="5"/>
  <c r="R5" i="5"/>
  <c r="L5" i="5"/>
  <c r="K5" i="5"/>
  <c r="AB4" i="5"/>
  <c r="W4" i="5"/>
  <c r="U4" i="5"/>
  <c r="R4" i="5"/>
  <c r="L4" i="5"/>
  <c r="K4" i="5"/>
  <c r="AB3" i="5"/>
  <c r="W3" i="5"/>
  <c r="U3" i="5"/>
  <c r="R3" i="5"/>
  <c r="L3" i="5"/>
  <c r="K3" i="5"/>
  <c r="S455" i="4"/>
  <c r="AC60" i="5" l="1"/>
  <c r="Y60" i="5"/>
  <c r="Y71" i="5"/>
  <c r="AE71" i="5" s="1"/>
  <c r="AC71" i="5"/>
  <c r="AD71" i="5" s="1"/>
  <c r="AC75" i="5"/>
  <c r="Y75" i="5"/>
  <c r="AC79" i="5"/>
  <c r="Y79" i="5"/>
  <c r="AC72" i="5"/>
  <c r="AD72" i="5" s="1"/>
  <c r="Y72" i="5"/>
  <c r="AE72" i="5" s="1"/>
  <c r="AC61" i="5"/>
  <c r="Y61" i="5"/>
  <c r="K44" i="6"/>
  <c r="L44" i="6" s="1"/>
  <c r="M44" i="6" s="1"/>
  <c r="N44" i="6" s="1"/>
  <c r="O44" i="6" s="1"/>
  <c r="P44" i="6" s="1"/>
  <c r="AC67" i="5"/>
  <c r="Y70" i="5"/>
  <c r="AC70" i="5"/>
  <c r="AC76" i="5"/>
  <c r="Y76" i="5"/>
  <c r="AB54" i="5"/>
  <c r="AE54" i="5"/>
  <c r="AB53" i="5"/>
  <c r="AE53" i="5"/>
  <c r="AE48" i="5"/>
  <c r="AE47" i="5"/>
  <c r="AG48" i="5"/>
  <c r="AC5" i="5"/>
  <c r="AC9" i="5"/>
  <c r="AG47" i="5"/>
  <c r="AC3" i="5"/>
  <c r="AC47" i="5"/>
  <c r="AC8" i="5"/>
  <c r="AC48" i="5"/>
  <c r="AD48" i="5" s="1"/>
  <c r="AC4" i="5"/>
  <c r="AC6" i="5"/>
  <c r="AG46" i="5"/>
  <c r="AC46" i="5"/>
  <c r="AC27" i="5"/>
  <c r="AD27" i="5" s="1"/>
  <c r="Y27" i="5"/>
  <c r="AE27" i="5" s="1"/>
  <c r="AC13" i="5"/>
  <c r="AC26" i="5"/>
  <c r="AD26" i="5" s="1"/>
  <c r="Y26" i="5"/>
  <c r="AE26" i="5" s="1"/>
  <c r="Y25" i="5"/>
  <c r="AC25" i="5"/>
  <c r="AC12" i="5"/>
  <c r="Y14" i="5"/>
  <c r="AC14" i="5"/>
  <c r="AC28" i="5"/>
  <c r="AD28" i="5" s="1"/>
  <c r="Y28" i="5"/>
  <c r="AE28" i="5" s="1"/>
  <c r="AC10" i="5"/>
  <c r="AD44" i="5"/>
  <c r="AD35" i="5"/>
  <c r="AD78" i="5"/>
  <c r="AD36" i="5"/>
  <c r="AD62" i="5"/>
  <c r="AD16" i="5"/>
  <c r="AD15" i="5"/>
  <c r="AD17" i="5"/>
  <c r="AD31" i="5"/>
  <c r="AD18" i="5"/>
  <c r="AD81" i="5"/>
  <c r="AD85" i="5"/>
  <c r="AD30" i="5"/>
  <c r="AD11" i="5"/>
  <c r="AE62" i="5"/>
  <c r="AD77" i="5"/>
  <c r="AD80" i="5"/>
  <c r="AE80" i="5"/>
  <c r="AD84" i="5"/>
  <c r="AE5" i="5"/>
  <c r="AE11" i="5"/>
  <c r="AE17" i="5"/>
  <c r="AE77" i="5"/>
  <c r="AE81" i="5"/>
  <c r="AD65" i="5"/>
  <c r="AE56" i="5"/>
  <c r="AE57" i="5"/>
  <c r="AE65" i="5"/>
  <c r="AE73" i="5"/>
  <c r="AE60" i="5"/>
  <c r="AE61" i="5"/>
  <c r="AE84" i="5"/>
  <c r="AE68" i="5"/>
  <c r="AB65" i="5"/>
  <c r="AE78" i="5"/>
  <c r="AE52" i="5"/>
  <c r="AE12" i="5"/>
  <c r="AE64" i="5"/>
  <c r="AE83" i="5"/>
  <c r="AE13" i="5"/>
  <c r="AE69" i="5"/>
  <c r="AE55" i="5"/>
  <c r="AE86" i="5"/>
  <c r="AE82" i="5"/>
  <c r="AE85" i="5"/>
  <c r="AE29" i="5"/>
  <c r="AE46" i="5"/>
  <c r="AE50" i="5"/>
  <c r="AE51" i="5"/>
  <c r="AE58" i="5"/>
  <c r="AE59" i="5"/>
  <c r="AE63" i="5"/>
  <c r="AE66" i="5"/>
  <c r="AE67" i="5"/>
  <c r="AB46" i="5"/>
  <c r="AB51" i="5"/>
  <c r="AB55" i="5"/>
  <c r="AB59" i="5"/>
  <c r="AB63" i="5"/>
  <c r="AB67" i="5"/>
  <c r="AB78" i="5"/>
  <c r="AB82" i="5"/>
  <c r="AB86" i="5"/>
  <c r="M458" i="4"/>
  <c r="L458" i="4"/>
  <c r="K458" i="4"/>
  <c r="J458" i="4"/>
  <c r="I458" i="4"/>
  <c r="K456" i="4"/>
  <c r="J456" i="4"/>
  <c r="I456" i="4"/>
  <c r="R454" i="4"/>
  <c r="Q454" i="4"/>
  <c r="P454" i="4"/>
  <c r="O454" i="4"/>
  <c r="N454" i="4"/>
  <c r="M454" i="4"/>
  <c r="L454" i="4"/>
  <c r="K454" i="4"/>
  <c r="J454" i="4"/>
  <c r="I454" i="4"/>
  <c r="M444" i="4"/>
  <c r="L444" i="4"/>
  <c r="K444" i="4"/>
  <c r="J444" i="4"/>
  <c r="M442" i="4"/>
  <c r="L442" i="4"/>
  <c r="K442" i="4"/>
  <c r="J442" i="4"/>
  <c r="K440" i="4"/>
  <c r="J440" i="4"/>
  <c r="M438" i="4"/>
  <c r="L438" i="4"/>
  <c r="K438" i="4"/>
  <c r="J438" i="4"/>
  <c r="I438" i="4"/>
  <c r="Q436" i="4"/>
  <c r="P436" i="4"/>
  <c r="O436" i="4"/>
  <c r="N436" i="4"/>
  <c r="M436" i="4"/>
  <c r="L436" i="4"/>
  <c r="K436" i="4"/>
  <c r="J436" i="4"/>
  <c r="I436" i="4"/>
  <c r="Q434" i="4"/>
  <c r="P434" i="4"/>
  <c r="O434" i="4"/>
  <c r="N434" i="4"/>
  <c r="M434" i="4"/>
  <c r="L434" i="4"/>
  <c r="K434" i="4"/>
  <c r="J434" i="4"/>
  <c r="I434" i="4"/>
  <c r="M427" i="4"/>
  <c r="L427" i="4"/>
  <c r="K427" i="4"/>
  <c r="J427" i="4"/>
  <c r="I427" i="4"/>
  <c r="M426" i="4"/>
  <c r="L426" i="4"/>
  <c r="K426" i="4"/>
  <c r="J426" i="4"/>
  <c r="M425" i="4"/>
  <c r="L425" i="4"/>
  <c r="K425" i="4"/>
  <c r="J425" i="4"/>
  <c r="I425" i="4"/>
  <c r="M424" i="4"/>
  <c r="L424" i="4"/>
  <c r="K424" i="4"/>
  <c r="J424" i="4"/>
  <c r="W410" i="4"/>
  <c r="V410" i="4"/>
  <c r="U410" i="4"/>
  <c r="T410" i="4"/>
  <c r="S410" i="4"/>
  <c r="R410" i="4"/>
  <c r="Q410" i="4"/>
  <c r="P410" i="4"/>
  <c r="O410" i="4"/>
  <c r="N410" i="4"/>
  <c r="M410" i="4"/>
  <c r="L410" i="4"/>
  <c r="K410" i="4"/>
  <c r="J410" i="4"/>
  <c r="I410" i="4"/>
  <c r="M408" i="4"/>
  <c r="L408" i="4"/>
  <c r="K408" i="4"/>
  <c r="J408" i="4"/>
  <c r="I408" i="4"/>
  <c r="M406" i="4"/>
  <c r="L406" i="4"/>
  <c r="K406" i="4"/>
  <c r="J406" i="4"/>
  <c r="I406" i="4"/>
  <c r="M404" i="4"/>
  <c r="L404" i="4"/>
  <c r="K404" i="4"/>
  <c r="J404" i="4"/>
  <c r="I404" i="4"/>
  <c r="R400" i="4"/>
  <c r="Q400" i="4"/>
  <c r="P400" i="4"/>
  <c r="O400" i="4"/>
  <c r="N400" i="4"/>
  <c r="M400" i="4"/>
  <c r="L400" i="4"/>
  <c r="K400" i="4"/>
  <c r="J400" i="4"/>
  <c r="I400" i="4"/>
  <c r="M398" i="4"/>
  <c r="L398" i="4"/>
  <c r="K398" i="4"/>
  <c r="J398" i="4"/>
  <c r="I398" i="4"/>
  <c r="V397" i="4"/>
  <c r="U397" i="4"/>
  <c r="T397" i="4"/>
  <c r="S397" i="4"/>
  <c r="R397" i="4"/>
  <c r="Q397" i="4"/>
  <c r="P397" i="4"/>
  <c r="O397" i="4"/>
  <c r="N397" i="4"/>
  <c r="M397" i="4"/>
  <c r="L397" i="4"/>
  <c r="K397" i="4"/>
  <c r="J397" i="4"/>
  <c r="V396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T395" i="4"/>
  <c r="S395" i="4"/>
  <c r="R395" i="4"/>
  <c r="Q395" i="4"/>
  <c r="P395" i="4"/>
  <c r="O395" i="4"/>
  <c r="N395" i="4"/>
  <c r="M395" i="4"/>
  <c r="L395" i="4"/>
  <c r="K395" i="4"/>
  <c r="J395" i="4"/>
  <c r="T394" i="4"/>
  <c r="S394" i="4"/>
  <c r="R394" i="4"/>
  <c r="Q394" i="4"/>
  <c r="P394" i="4"/>
  <c r="O394" i="4"/>
  <c r="N394" i="4"/>
  <c r="M394" i="4"/>
  <c r="L394" i="4"/>
  <c r="K394" i="4"/>
  <c r="J394" i="4"/>
  <c r="T386" i="4"/>
  <c r="S386" i="4"/>
  <c r="R386" i="4"/>
  <c r="Q386" i="4"/>
  <c r="P386" i="4"/>
  <c r="O386" i="4"/>
  <c r="N386" i="4"/>
  <c r="M386" i="4"/>
  <c r="L386" i="4"/>
  <c r="K386" i="4"/>
  <c r="J386" i="4"/>
  <c r="I386" i="4"/>
  <c r="T384" i="4"/>
  <c r="S384" i="4"/>
  <c r="R384" i="4"/>
  <c r="Q384" i="4"/>
  <c r="P384" i="4"/>
  <c r="O384" i="4"/>
  <c r="N384" i="4"/>
  <c r="M384" i="4"/>
  <c r="L384" i="4"/>
  <c r="K384" i="4"/>
  <c r="J384" i="4"/>
  <c r="I384" i="4"/>
  <c r="T382" i="4"/>
  <c r="S382" i="4"/>
  <c r="R382" i="4"/>
  <c r="Q382" i="4"/>
  <c r="P382" i="4"/>
  <c r="O382" i="4"/>
  <c r="N382" i="4"/>
  <c r="M382" i="4"/>
  <c r="L382" i="4"/>
  <c r="K382" i="4"/>
  <c r="J382" i="4"/>
  <c r="I382" i="4"/>
  <c r="T380" i="4"/>
  <c r="S380" i="4"/>
  <c r="R380" i="4"/>
  <c r="Q380" i="4"/>
  <c r="P380" i="4"/>
  <c r="O380" i="4"/>
  <c r="N380" i="4"/>
  <c r="M380" i="4"/>
  <c r="L380" i="4"/>
  <c r="K380" i="4"/>
  <c r="J380" i="4"/>
  <c r="I380" i="4"/>
  <c r="T378" i="4"/>
  <c r="S378" i="4"/>
  <c r="R378" i="4"/>
  <c r="Q378" i="4"/>
  <c r="P378" i="4"/>
  <c r="O378" i="4"/>
  <c r="N378" i="4"/>
  <c r="M378" i="4"/>
  <c r="L378" i="4"/>
  <c r="K378" i="4"/>
  <c r="J378" i="4"/>
  <c r="I378" i="4"/>
  <c r="T376" i="4"/>
  <c r="S376" i="4"/>
  <c r="R376" i="4"/>
  <c r="Q376" i="4"/>
  <c r="P376" i="4"/>
  <c r="O376" i="4"/>
  <c r="N376" i="4"/>
  <c r="M376" i="4"/>
  <c r="L376" i="4"/>
  <c r="K376" i="4"/>
  <c r="J376" i="4"/>
  <c r="I376" i="4"/>
  <c r="N374" i="4"/>
  <c r="M374" i="4"/>
  <c r="L374" i="4"/>
  <c r="K374" i="4"/>
  <c r="J374" i="4"/>
  <c r="I374" i="4"/>
  <c r="P372" i="4"/>
  <c r="O372" i="4"/>
  <c r="N372" i="4"/>
  <c r="M372" i="4"/>
  <c r="L372" i="4"/>
  <c r="K372" i="4"/>
  <c r="J372" i="4"/>
  <c r="I372" i="4"/>
  <c r="M370" i="4"/>
  <c r="L370" i="4"/>
  <c r="K370" i="4"/>
  <c r="J370" i="4"/>
  <c r="I370" i="4"/>
  <c r="P368" i="4"/>
  <c r="O368" i="4"/>
  <c r="N368" i="4"/>
  <c r="M368" i="4"/>
  <c r="L368" i="4"/>
  <c r="K368" i="4"/>
  <c r="J368" i="4"/>
  <c r="P366" i="4"/>
  <c r="O366" i="4"/>
  <c r="N366" i="4"/>
  <c r="M366" i="4"/>
  <c r="L366" i="4"/>
  <c r="K366" i="4"/>
  <c r="J366" i="4"/>
  <c r="P364" i="4"/>
  <c r="O364" i="4"/>
  <c r="N364" i="4"/>
  <c r="M364" i="4"/>
  <c r="L364" i="4"/>
  <c r="K364" i="4"/>
  <c r="J364" i="4"/>
  <c r="N362" i="4"/>
  <c r="M362" i="4"/>
  <c r="L362" i="4"/>
  <c r="K362" i="4"/>
  <c r="BH354" i="4"/>
  <c r="BG354" i="4"/>
  <c r="BF354" i="4"/>
  <c r="BE354" i="4"/>
  <c r="BD354" i="4"/>
  <c r="BC354" i="4"/>
  <c r="BB354" i="4"/>
  <c r="BA354" i="4"/>
  <c r="AZ354" i="4"/>
  <c r="AY354" i="4"/>
  <c r="AX354" i="4"/>
  <c r="AW354" i="4"/>
  <c r="AV354" i="4"/>
  <c r="AU354" i="4"/>
  <c r="AT354" i="4"/>
  <c r="AS354" i="4"/>
  <c r="AR354" i="4"/>
  <c r="AQ354" i="4"/>
  <c r="AP354" i="4"/>
  <c r="AO354" i="4"/>
  <c r="AN354" i="4"/>
  <c r="AM354" i="4"/>
  <c r="AL354" i="4"/>
  <c r="AK354" i="4"/>
  <c r="AJ354" i="4"/>
  <c r="AI354" i="4"/>
  <c r="AH354" i="4"/>
  <c r="AG354" i="4"/>
  <c r="AF354" i="4"/>
  <c r="AE354" i="4"/>
  <c r="AD354" i="4"/>
  <c r="AC354" i="4"/>
  <c r="AB354" i="4"/>
  <c r="AA354" i="4"/>
  <c r="Z354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BH352" i="4"/>
  <c r="BG352" i="4"/>
  <c r="BF352" i="4"/>
  <c r="BE352" i="4"/>
  <c r="BD352" i="4"/>
  <c r="BC352" i="4"/>
  <c r="BB352" i="4"/>
  <c r="BA352" i="4"/>
  <c r="AZ352" i="4"/>
  <c r="AY352" i="4"/>
  <c r="AX352" i="4"/>
  <c r="AW352" i="4"/>
  <c r="AV352" i="4"/>
  <c r="AU352" i="4"/>
  <c r="AT352" i="4"/>
  <c r="AS352" i="4"/>
  <c r="AR352" i="4"/>
  <c r="AQ352" i="4"/>
  <c r="AP352" i="4"/>
  <c r="AO352" i="4"/>
  <c r="AN352" i="4"/>
  <c r="AM352" i="4"/>
  <c r="AL352" i="4"/>
  <c r="AK352" i="4"/>
  <c r="AJ352" i="4"/>
  <c r="AI352" i="4"/>
  <c r="AH352" i="4"/>
  <c r="AG352" i="4"/>
  <c r="AF352" i="4"/>
  <c r="AE352" i="4"/>
  <c r="AD352" i="4"/>
  <c r="AC352" i="4"/>
  <c r="AB352" i="4"/>
  <c r="AA352" i="4"/>
  <c r="Z352" i="4"/>
  <c r="Y352" i="4"/>
  <c r="X352" i="4"/>
  <c r="W352" i="4"/>
  <c r="V352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Q350" i="4"/>
  <c r="P350" i="4"/>
  <c r="O350" i="4"/>
  <c r="N350" i="4"/>
  <c r="M350" i="4"/>
  <c r="L350" i="4"/>
  <c r="K350" i="4"/>
  <c r="J350" i="4"/>
  <c r="I350" i="4"/>
  <c r="Q348" i="4"/>
  <c r="P348" i="4"/>
  <c r="O348" i="4"/>
  <c r="N348" i="4"/>
  <c r="M348" i="4"/>
  <c r="L348" i="4"/>
  <c r="K348" i="4"/>
  <c r="J348" i="4"/>
  <c r="I348" i="4"/>
  <c r="Q346" i="4"/>
  <c r="P346" i="4"/>
  <c r="O346" i="4"/>
  <c r="N346" i="4"/>
  <c r="M346" i="4"/>
  <c r="L346" i="4"/>
  <c r="K346" i="4"/>
  <c r="J346" i="4"/>
  <c r="I346" i="4"/>
  <c r="Q344" i="4"/>
  <c r="P344" i="4"/>
  <c r="O344" i="4"/>
  <c r="N344" i="4"/>
  <c r="M344" i="4"/>
  <c r="L344" i="4"/>
  <c r="K344" i="4"/>
  <c r="J344" i="4"/>
  <c r="I344" i="4"/>
  <c r="Q342" i="4"/>
  <c r="P342" i="4"/>
  <c r="O342" i="4"/>
  <c r="N342" i="4"/>
  <c r="M342" i="4"/>
  <c r="L342" i="4"/>
  <c r="K342" i="4"/>
  <c r="J342" i="4"/>
  <c r="I342" i="4"/>
  <c r="Q340" i="4"/>
  <c r="P340" i="4"/>
  <c r="O340" i="4"/>
  <c r="N340" i="4"/>
  <c r="M340" i="4"/>
  <c r="L340" i="4"/>
  <c r="K340" i="4"/>
  <c r="J340" i="4"/>
  <c r="I340" i="4"/>
  <c r="K326" i="4"/>
  <c r="J326" i="4"/>
  <c r="M322" i="4"/>
  <c r="L322" i="4"/>
  <c r="K322" i="4"/>
  <c r="J322" i="4"/>
  <c r="I322" i="4"/>
  <c r="M320" i="4"/>
  <c r="L320" i="4"/>
  <c r="K320" i="4"/>
  <c r="J320" i="4"/>
  <c r="I320" i="4"/>
  <c r="M318" i="4"/>
  <c r="L318" i="4"/>
  <c r="K318" i="4"/>
  <c r="J318" i="4"/>
  <c r="I318" i="4"/>
  <c r="O316" i="4"/>
  <c r="N316" i="4"/>
  <c r="M316" i="4"/>
  <c r="L316" i="4"/>
  <c r="K316" i="4"/>
  <c r="J316" i="4"/>
  <c r="I316" i="4"/>
  <c r="M314" i="4"/>
  <c r="L314" i="4"/>
  <c r="K314" i="4"/>
  <c r="J314" i="4"/>
  <c r="I314" i="4"/>
  <c r="M312" i="4"/>
  <c r="L312" i="4"/>
  <c r="K312" i="4"/>
  <c r="J312" i="4"/>
  <c r="I312" i="4"/>
  <c r="M310" i="4"/>
  <c r="L310" i="4"/>
  <c r="K310" i="4"/>
  <c r="J310" i="4"/>
  <c r="I310" i="4"/>
  <c r="O308" i="4"/>
  <c r="N308" i="4"/>
  <c r="M308" i="4"/>
  <c r="L308" i="4"/>
  <c r="K308" i="4"/>
  <c r="J308" i="4"/>
  <c r="I308" i="4"/>
  <c r="M306" i="4"/>
  <c r="L306" i="4"/>
  <c r="K306" i="4"/>
  <c r="J306" i="4"/>
  <c r="I306" i="4"/>
  <c r="M304" i="4"/>
  <c r="L304" i="4"/>
  <c r="K304" i="4"/>
  <c r="J304" i="4"/>
  <c r="I304" i="4"/>
  <c r="N303" i="4"/>
  <c r="M303" i="4"/>
  <c r="L303" i="4"/>
  <c r="K303" i="4"/>
  <c r="J303" i="4"/>
  <c r="I303" i="4"/>
  <c r="N302" i="4"/>
  <c r="M302" i="4"/>
  <c r="L302" i="4"/>
  <c r="K302" i="4"/>
  <c r="J302" i="4"/>
  <c r="N301" i="4"/>
  <c r="M301" i="4"/>
  <c r="L301" i="4"/>
  <c r="K301" i="4"/>
  <c r="J301" i="4"/>
  <c r="I301" i="4"/>
  <c r="N300" i="4"/>
  <c r="M300" i="4"/>
  <c r="L300" i="4"/>
  <c r="K300" i="4"/>
  <c r="J300" i="4"/>
  <c r="M298" i="4"/>
  <c r="L298" i="4"/>
  <c r="K298" i="4"/>
  <c r="J298" i="4"/>
  <c r="M296" i="4"/>
  <c r="L296" i="4"/>
  <c r="K296" i="4"/>
  <c r="J296" i="4"/>
  <c r="M294" i="4"/>
  <c r="L294" i="4"/>
  <c r="K294" i="4"/>
  <c r="J294" i="4"/>
  <c r="M292" i="4"/>
  <c r="L292" i="4"/>
  <c r="K292" i="4"/>
  <c r="J292" i="4"/>
  <c r="O288" i="4"/>
  <c r="N288" i="4"/>
  <c r="M288" i="4"/>
  <c r="L288" i="4"/>
  <c r="K288" i="4"/>
  <c r="J288" i="4"/>
  <c r="I288" i="4"/>
  <c r="M287" i="4"/>
  <c r="L287" i="4"/>
  <c r="K287" i="4"/>
  <c r="J287" i="4"/>
  <c r="I287" i="4"/>
  <c r="M286" i="4"/>
  <c r="L286" i="4"/>
  <c r="K286" i="4"/>
  <c r="J286" i="4"/>
  <c r="I286" i="4"/>
  <c r="N284" i="4"/>
  <c r="M284" i="4"/>
  <c r="L284" i="4"/>
  <c r="K284" i="4"/>
  <c r="J284" i="4"/>
  <c r="I284" i="4"/>
  <c r="N282" i="4"/>
  <c r="M282" i="4"/>
  <c r="L282" i="4"/>
  <c r="K282" i="4"/>
  <c r="J282" i="4"/>
  <c r="I282" i="4"/>
  <c r="N280" i="4"/>
  <c r="M280" i="4"/>
  <c r="L280" i="4"/>
  <c r="K280" i="4"/>
  <c r="J280" i="4"/>
  <c r="I280" i="4"/>
  <c r="M278" i="4"/>
  <c r="L278" i="4"/>
  <c r="K278" i="4"/>
  <c r="J278" i="4"/>
  <c r="I278" i="4"/>
  <c r="M276" i="4"/>
  <c r="L276" i="4"/>
  <c r="K276" i="4"/>
  <c r="J276" i="4"/>
  <c r="I276" i="4"/>
  <c r="M274" i="4"/>
  <c r="L274" i="4"/>
  <c r="K274" i="4"/>
  <c r="J274" i="4"/>
  <c r="I274" i="4"/>
  <c r="M272" i="4"/>
  <c r="L272" i="4"/>
  <c r="K272" i="4"/>
  <c r="J272" i="4"/>
  <c r="I272" i="4"/>
  <c r="M270" i="4"/>
  <c r="L270" i="4"/>
  <c r="K270" i="4"/>
  <c r="J270" i="4"/>
  <c r="I270" i="4"/>
  <c r="M268" i="4"/>
  <c r="L268" i="4"/>
  <c r="K268" i="4"/>
  <c r="J268" i="4"/>
  <c r="I268" i="4"/>
  <c r="M266" i="4"/>
  <c r="L266" i="4"/>
  <c r="K266" i="4"/>
  <c r="J266" i="4"/>
  <c r="I266" i="4"/>
  <c r="M264" i="4"/>
  <c r="L264" i="4"/>
  <c r="K264" i="4"/>
  <c r="J264" i="4"/>
  <c r="I264" i="4"/>
  <c r="M262" i="4"/>
  <c r="L262" i="4"/>
  <c r="K262" i="4"/>
  <c r="J262" i="4"/>
  <c r="I262" i="4"/>
  <c r="O260" i="4"/>
  <c r="N260" i="4"/>
  <c r="M260" i="4"/>
  <c r="L260" i="4"/>
  <c r="K260" i="4"/>
  <c r="J260" i="4"/>
  <c r="O258" i="4"/>
  <c r="N258" i="4"/>
  <c r="M258" i="4"/>
  <c r="L258" i="4"/>
  <c r="K258" i="4"/>
  <c r="J258" i="4"/>
  <c r="O256" i="4"/>
  <c r="N256" i="4"/>
  <c r="M256" i="4"/>
  <c r="L256" i="4"/>
  <c r="K256" i="4"/>
  <c r="J256" i="4"/>
  <c r="M250" i="4"/>
  <c r="L250" i="4"/>
  <c r="K250" i="4"/>
  <c r="J250" i="4"/>
  <c r="I250" i="4"/>
  <c r="M248" i="4"/>
  <c r="L248" i="4"/>
  <c r="K248" i="4"/>
  <c r="J248" i="4"/>
  <c r="M247" i="4"/>
  <c r="L247" i="4"/>
  <c r="K247" i="4"/>
  <c r="J247" i="4"/>
  <c r="I247" i="4"/>
  <c r="M246" i="4"/>
  <c r="L246" i="4"/>
  <c r="K246" i="4"/>
  <c r="J246" i="4"/>
  <c r="M244" i="4"/>
  <c r="L244" i="4"/>
  <c r="K244" i="4"/>
  <c r="J244" i="4"/>
  <c r="M242" i="4"/>
  <c r="L242" i="4"/>
  <c r="K242" i="4"/>
  <c r="J242" i="4"/>
  <c r="M241" i="4"/>
  <c r="L241" i="4"/>
  <c r="K241" i="4"/>
  <c r="J241" i="4"/>
  <c r="I241" i="4"/>
  <c r="M240" i="4"/>
  <c r="L240" i="4"/>
  <c r="K240" i="4"/>
  <c r="J240" i="4"/>
  <c r="M234" i="4"/>
  <c r="L234" i="4"/>
  <c r="K234" i="4"/>
  <c r="J234" i="4"/>
  <c r="I234" i="4"/>
  <c r="M224" i="4"/>
  <c r="L224" i="4"/>
  <c r="K224" i="4"/>
  <c r="J224" i="4"/>
  <c r="I224" i="4"/>
  <c r="M222" i="4"/>
  <c r="L222" i="4"/>
  <c r="K222" i="4"/>
  <c r="J222" i="4"/>
  <c r="M220" i="4"/>
  <c r="L220" i="4"/>
  <c r="K220" i="4"/>
  <c r="J220" i="4"/>
  <c r="M218" i="4"/>
  <c r="L218" i="4"/>
  <c r="K218" i="4"/>
  <c r="J218" i="4"/>
  <c r="M216" i="4"/>
  <c r="L216" i="4"/>
  <c r="K216" i="4"/>
  <c r="J216" i="4"/>
  <c r="I216" i="4"/>
  <c r="M214" i="4"/>
  <c r="L214" i="4"/>
  <c r="K214" i="4"/>
  <c r="J214" i="4"/>
  <c r="I214" i="4"/>
  <c r="N202" i="4"/>
  <c r="M202" i="4"/>
  <c r="L202" i="4"/>
  <c r="K202" i="4"/>
  <c r="J202" i="4"/>
  <c r="N200" i="4"/>
  <c r="M200" i="4"/>
  <c r="L200" i="4"/>
  <c r="K200" i="4"/>
  <c r="J200" i="4"/>
  <c r="M198" i="4"/>
  <c r="L198" i="4"/>
  <c r="K198" i="4"/>
  <c r="J198" i="4"/>
  <c r="I198" i="4"/>
  <c r="M196" i="4"/>
  <c r="L196" i="4"/>
  <c r="K196" i="4"/>
  <c r="J196" i="4"/>
  <c r="I196" i="4"/>
  <c r="M194" i="4"/>
  <c r="L194" i="4"/>
  <c r="K194" i="4"/>
  <c r="J194" i="4"/>
  <c r="I194" i="4"/>
  <c r="M192" i="4"/>
  <c r="L192" i="4"/>
  <c r="K192" i="4"/>
  <c r="J192" i="4"/>
  <c r="I192" i="4"/>
  <c r="M190" i="4"/>
  <c r="L190" i="4"/>
  <c r="K190" i="4"/>
  <c r="J190" i="4"/>
  <c r="I190" i="4"/>
  <c r="M188" i="4"/>
  <c r="L188" i="4"/>
  <c r="K188" i="4"/>
  <c r="J188" i="4"/>
  <c r="I188" i="4"/>
  <c r="N186" i="4"/>
  <c r="M186" i="4"/>
  <c r="L186" i="4"/>
  <c r="K186" i="4"/>
  <c r="J186" i="4"/>
  <c r="I186" i="4"/>
  <c r="N184" i="4"/>
  <c r="M184" i="4"/>
  <c r="L184" i="4"/>
  <c r="K184" i="4"/>
  <c r="J184" i="4"/>
  <c r="I184" i="4"/>
  <c r="R166" i="4"/>
  <c r="Q166" i="4"/>
  <c r="P166" i="4"/>
  <c r="O166" i="4"/>
  <c r="N166" i="4"/>
  <c r="M166" i="4"/>
  <c r="L166" i="4"/>
  <c r="K166" i="4"/>
  <c r="J166" i="4"/>
  <c r="I166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P160" i="4"/>
  <c r="O160" i="4"/>
  <c r="N160" i="4"/>
  <c r="M160" i="4"/>
  <c r="L160" i="4"/>
  <c r="K160" i="4"/>
  <c r="J160" i="4"/>
  <c r="J142" i="4"/>
  <c r="J140" i="4"/>
  <c r="J138" i="4"/>
  <c r="J136" i="4"/>
  <c r="J134" i="4"/>
  <c r="J132" i="4"/>
  <c r="J130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J116" i="4"/>
  <c r="J114" i="4"/>
  <c r="J112" i="4"/>
  <c r="R111" i="4"/>
  <c r="Q111" i="4"/>
  <c r="P111" i="4"/>
  <c r="O111" i="4"/>
  <c r="N111" i="4"/>
  <c r="M111" i="4"/>
  <c r="L111" i="4"/>
  <c r="K111" i="4"/>
  <c r="J111" i="4"/>
  <c r="I111" i="4"/>
  <c r="R110" i="4"/>
  <c r="Q110" i="4"/>
  <c r="P110" i="4"/>
  <c r="O110" i="4"/>
  <c r="N110" i="4"/>
  <c r="M110" i="4"/>
  <c r="L110" i="4"/>
  <c r="K110" i="4"/>
  <c r="J110" i="4"/>
  <c r="I110" i="4"/>
  <c r="R109" i="4"/>
  <c r="Q109" i="4"/>
  <c r="P109" i="4"/>
  <c r="O109" i="4"/>
  <c r="N109" i="4"/>
  <c r="M109" i="4"/>
  <c r="L109" i="4"/>
  <c r="K109" i="4"/>
  <c r="J109" i="4"/>
  <c r="I109" i="4"/>
  <c r="R108" i="4"/>
  <c r="Q108" i="4"/>
  <c r="P108" i="4"/>
  <c r="O108" i="4"/>
  <c r="N108" i="4"/>
  <c r="M108" i="4"/>
  <c r="L108" i="4"/>
  <c r="K108" i="4"/>
  <c r="J108" i="4"/>
  <c r="I108" i="4"/>
  <c r="N106" i="4"/>
  <c r="M106" i="4"/>
  <c r="L106" i="4"/>
  <c r="K106" i="4"/>
  <c r="J106" i="4"/>
  <c r="I106" i="4"/>
  <c r="N104" i="4"/>
  <c r="M104" i="4"/>
  <c r="L104" i="4"/>
  <c r="K104" i="4"/>
  <c r="J104" i="4"/>
  <c r="I104" i="4"/>
  <c r="N102" i="4"/>
  <c r="M102" i="4"/>
  <c r="L102" i="4"/>
  <c r="K102" i="4"/>
  <c r="J102" i="4"/>
  <c r="I102" i="4"/>
  <c r="N100" i="4"/>
  <c r="M100" i="4"/>
  <c r="L100" i="4"/>
  <c r="K100" i="4"/>
  <c r="J100" i="4"/>
  <c r="I100" i="4"/>
  <c r="N98" i="4"/>
  <c r="M98" i="4"/>
  <c r="L98" i="4"/>
  <c r="K98" i="4"/>
  <c r="J98" i="4"/>
  <c r="I98" i="4"/>
  <c r="N96" i="4"/>
  <c r="M96" i="4"/>
  <c r="L96" i="4"/>
  <c r="K96" i="4"/>
  <c r="J96" i="4"/>
  <c r="I96" i="4"/>
  <c r="M94" i="4"/>
  <c r="L94" i="4"/>
  <c r="K94" i="4"/>
  <c r="J94" i="4"/>
  <c r="I94" i="4"/>
  <c r="M92" i="4"/>
  <c r="L92" i="4"/>
  <c r="K92" i="4"/>
  <c r="J92" i="4"/>
  <c r="I92" i="4"/>
  <c r="R90" i="4"/>
  <c r="Q90" i="4"/>
  <c r="P90" i="4"/>
  <c r="O90" i="4"/>
  <c r="N90" i="4"/>
  <c r="M90" i="4"/>
  <c r="L90" i="4"/>
  <c r="K90" i="4"/>
  <c r="J90" i="4"/>
  <c r="I90" i="4"/>
  <c r="M88" i="4"/>
  <c r="L88" i="4"/>
  <c r="K88" i="4"/>
  <c r="J88" i="4"/>
  <c r="I88" i="4"/>
  <c r="P86" i="4"/>
  <c r="O86" i="4"/>
  <c r="N86" i="4"/>
  <c r="M86" i="4"/>
  <c r="L86" i="4"/>
  <c r="K86" i="4"/>
  <c r="J86" i="4"/>
  <c r="I86" i="4"/>
  <c r="P84" i="4"/>
  <c r="O84" i="4"/>
  <c r="N84" i="4"/>
  <c r="M84" i="4"/>
  <c r="L84" i="4"/>
  <c r="K84" i="4"/>
  <c r="J84" i="4"/>
  <c r="I84" i="4"/>
  <c r="P82" i="4"/>
  <c r="O82" i="4"/>
  <c r="N82" i="4"/>
  <c r="M82" i="4"/>
  <c r="L82" i="4"/>
  <c r="K82" i="4"/>
  <c r="J82" i="4"/>
  <c r="I82" i="4"/>
  <c r="P80" i="4"/>
  <c r="O80" i="4"/>
  <c r="N80" i="4"/>
  <c r="M80" i="4"/>
  <c r="L80" i="4"/>
  <c r="K80" i="4"/>
  <c r="J80" i="4"/>
  <c r="I80" i="4"/>
  <c r="P78" i="4"/>
  <c r="O78" i="4"/>
  <c r="N78" i="4"/>
  <c r="M78" i="4"/>
  <c r="L78" i="4"/>
  <c r="K78" i="4"/>
  <c r="J78" i="4"/>
  <c r="I78" i="4"/>
  <c r="P76" i="4"/>
  <c r="O76" i="4"/>
  <c r="N76" i="4"/>
  <c r="M76" i="4"/>
  <c r="L76" i="4"/>
  <c r="K76" i="4"/>
  <c r="J76" i="4"/>
  <c r="I76" i="4"/>
  <c r="P74" i="4"/>
  <c r="O74" i="4"/>
  <c r="N74" i="4"/>
  <c r="M74" i="4"/>
  <c r="L74" i="4"/>
  <c r="K74" i="4"/>
  <c r="J74" i="4"/>
  <c r="I74" i="4"/>
  <c r="P72" i="4"/>
  <c r="O72" i="4"/>
  <c r="N72" i="4"/>
  <c r="M72" i="4"/>
  <c r="L72" i="4"/>
  <c r="K72" i="4"/>
  <c r="J72" i="4"/>
  <c r="I72" i="4"/>
  <c r="N58" i="4"/>
  <c r="M58" i="4"/>
  <c r="L58" i="4"/>
  <c r="K58" i="4"/>
  <c r="J58" i="4"/>
  <c r="I58" i="4"/>
  <c r="N57" i="4"/>
  <c r="M57" i="4"/>
  <c r="L57" i="4"/>
  <c r="K57" i="4"/>
  <c r="J57" i="4"/>
  <c r="I57" i="4"/>
  <c r="N56" i="4"/>
  <c r="M56" i="4"/>
  <c r="L56" i="4"/>
  <c r="K56" i="4"/>
  <c r="J56" i="4"/>
  <c r="I56" i="4"/>
  <c r="M50" i="4"/>
  <c r="L50" i="4"/>
  <c r="K50" i="4"/>
  <c r="J50" i="4"/>
  <c r="I50" i="4"/>
  <c r="M48" i="4"/>
  <c r="L48" i="4"/>
  <c r="K48" i="4"/>
  <c r="J48" i="4"/>
  <c r="I48" i="4"/>
  <c r="Q46" i="4"/>
  <c r="P46" i="4"/>
  <c r="O46" i="4"/>
  <c r="N46" i="4"/>
  <c r="M46" i="4"/>
  <c r="L46" i="4"/>
  <c r="K46" i="4"/>
  <c r="J46" i="4"/>
  <c r="Q44" i="4"/>
  <c r="P44" i="4"/>
  <c r="O44" i="4"/>
  <c r="N44" i="4"/>
  <c r="M44" i="4"/>
  <c r="L44" i="4"/>
  <c r="K44" i="4"/>
  <c r="J44" i="4"/>
  <c r="Q42" i="4"/>
  <c r="P42" i="4"/>
  <c r="O42" i="4"/>
  <c r="N42" i="4"/>
  <c r="M42" i="4"/>
  <c r="L42" i="4"/>
  <c r="K42" i="4"/>
  <c r="J42" i="4"/>
  <c r="Q40" i="4"/>
  <c r="P40" i="4"/>
  <c r="O40" i="4"/>
  <c r="N40" i="4"/>
  <c r="M40" i="4"/>
  <c r="L40" i="4"/>
  <c r="K40" i="4"/>
  <c r="J40" i="4"/>
  <c r="Q38" i="4"/>
  <c r="P38" i="4"/>
  <c r="O38" i="4"/>
  <c r="N38" i="4"/>
  <c r="M38" i="4"/>
  <c r="L38" i="4"/>
  <c r="K38" i="4"/>
  <c r="J38" i="4"/>
  <c r="Q36" i="4"/>
  <c r="P36" i="4"/>
  <c r="O36" i="4"/>
  <c r="N36" i="4"/>
  <c r="M36" i="4"/>
  <c r="L36" i="4"/>
  <c r="K36" i="4"/>
  <c r="J36" i="4"/>
  <c r="Q34" i="4"/>
  <c r="P34" i="4"/>
  <c r="O34" i="4"/>
  <c r="N34" i="4"/>
  <c r="M34" i="4"/>
  <c r="L34" i="4"/>
  <c r="K34" i="4"/>
  <c r="J34" i="4"/>
  <c r="I34" i="4"/>
  <c r="Q32" i="4"/>
  <c r="P32" i="4"/>
  <c r="O32" i="4"/>
  <c r="N32" i="4"/>
  <c r="M32" i="4"/>
  <c r="L32" i="4"/>
  <c r="K32" i="4"/>
  <c r="J32" i="4"/>
  <c r="I32" i="4"/>
  <c r="Q30" i="4"/>
  <c r="P30" i="4"/>
  <c r="O30" i="4"/>
  <c r="N30" i="4"/>
  <c r="M30" i="4"/>
  <c r="L30" i="4"/>
  <c r="K30" i="4"/>
  <c r="J30" i="4"/>
  <c r="I30" i="4"/>
  <c r="Q28" i="4"/>
  <c r="P28" i="4"/>
  <c r="O28" i="4"/>
  <c r="N28" i="4"/>
  <c r="M28" i="4"/>
  <c r="L28" i="4"/>
  <c r="K28" i="4"/>
  <c r="J28" i="4"/>
  <c r="I28" i="4"/>
  <c r="Q26" i="4"/>
  <c r="P26" i="4"/>
  <c r="O26" i="4"/>
  <c r="N26" i="4"/>
  <c r="M26" i="4"/>
  <c r="L26" i="4"/>
  <c r="K26" i="4"/>
  <c r="J26" i="4"/>
  <c r="I26" i="4"/>
  <c r="Q24" i="4"/>
  <c r="P24" i="4"/>
  <c r="O24" i="4"/>
  <c r="N24" i="4"/>
  <c r="M24" i="4"/>
  <c r="L24" i="4"/>
  <c r="K24" i="4"/>
  <c r="J24" i="4"/>
  <c r="I24" i="4"/>
  <c r="Q22" i="4"/>
  <c r="P22" i="4"/>
  <c r="O22" i="4"/>
  <c r="N22" i="4"/>
  <c r="M22" i="4"/>
  <c r="L22" i="4"/>
  <c r="K22" i="4"/>
  <c r="J22" i="4"/>
  <c r="I22" i="4"/>
  <c r="Q20" i="4"/>
  <c r="P20" i="4"/>
  <c r="O20" i="4"/>
  <c r="N20" i="4"/>
  <c r="M20" i="4"/>
  <c r="L20" i="4"/>
  <c r="K20" i="4"/>
  <c r="J20" i="4"/>
  <c r="I20" i="4"/>
  <c r="Q18" i="4"/>
  <c r="P18" i="4"/>
  <c r="O18" i="4"/>
  <c r="N18" i="4"/>
  <c r="M18" i="4"/>
  <c r="L18" i="4"/>
  <c r="K18" i="4"/>
  <c r="J18" i="4"/>
  <c r="I18" i="4"/>
  <c r="Q16" i="4"/>
  <c r="P16" i="4"/>
  <c r="O16" i="4"/>
  <c r="N16" i="4"/>
  <c r="M16" i="4"/>
  <c r="L16" i="4"/>
  <c r="K16" i="4"/>
  <c r="J16" i="4"/>
  <c r="I16" i="4"/>
  <c r="Q14" i="4"/>
  <c r="P14" i="4"/>
  <c r="O14" i="4"/>
  <c r="N14" i="4"/>
  <c r="M14" i="4"/>
  <c r="L14" i="4"/>
  <c r="K14" i="4"/>
  <c r="J14" i="4"/>
  <c r="I14" i="4"/>
  <c r="Q12" i="4"/>
  <c r="P12" i="4"/>
  <c r="O12" i="4"/>
  <c r="N12" i="4"/>
  <c r="M12" i="4"/>
  <c r="L12" i="4"/>
  <c r="K12" i="4"/>
  <c r="J12" i="4"/>
  <c r="I12" i="4"/>
  <c r="Q10" i="4"/>
  <c r="P10" i="4"/>
  <c r="O10" i="4"/>
  <c r="N10" i="4"/>
  <c r="M10" i="4"/>
  <c r="L10" i="4"/>
  <c r="K10" i="4"/>
  <c r="J10" i="4"/>
  <c r="I10" i="4"/>
  <c r="Q8" i="4"/>
  <c r="P8" i="4"/>
  <c r="O8" i="4"/>
  <c r="N8" i="4"/>
  <c r="M8" i="4"/>
  <c r="L8" i="4"/>
  <c r="K8" i="4"/>
  <c r="J8" i="4"/>
  <c r="I8" i="4"/>
  <c r="Q6" i="4"/>
  <c r="P6" i="4"/>
  <c r="O6" i="4"/>
  <c r="N6" i="4"/>
  <c r="M6" i="4"/>
  <c r="L6" i="4"/>
  <c r="K6" i="4"/>
  <c r="J6" i="4"/>
  <c r="I6" i="4"/>
  <c r="M114" i="4" l="1"/>
  <c r="AE70" i="5"/>
  <c r="AD70" i="5"/>
  <c r="K132" i="4"/>
  <c r="L132" i="4" s="1"/>
  <c r="M132" i="4" s="1"/>
  <c r="N132" i="4" s="1"/>
  <c r="O132" i="4" s="1"/>
  <c r="P132" i="4" s="1"/>
  <c r="K136" i="4"/>
  <c r="L136" i="4" s="1"/>
  <c r="M136" i="4" s="1"/>
  <c r="N136" i="4" s="1"/>
  <c r="O136" i="4" s="1"/>
  <c r="P136" i="4" s="1"/>
  <c r="AD4" i="5"/>
  <c r="AD75" i="5"/>
  <c r="AE75" i="5"/>
  <c r="AD60" i="5"/>
  <c r="K138" i="4"/>
  <c r="L138" i="4" s="1"/>
  <c r="M138" i="4" s="1"/>
  <c r="N138" i="4" s="1"/>
  <c r="O138" i="4" s="1"/>
  <c r="P138" i="4" s="1"/>
  <c r="AD47" i="5"/>
  <c r="AD12" i="5"/>
  <c r="AD61" i="5"/>
  <c r="K140" i="4"/>
  <c r="L140" i="4" s="1"/>
  <c r="M140" i="4" s="1"/>
  <c r="N140" i="4" s="1"/>
  <c r="O140" i="4" s="1"/>
  <c r="P140" i="4" s="1"/>
  <c r="AD8" i="5"/>
  <c r="AD10" i="5"/>
  <c r="AD3" i="5"/>
  <c r="N112" i="4"/>
  <c r="K142" i="4"/>
  <c r="L142" i="4" s="1"/>
  <c r="M142" i="4" s="1"/>
  <c r="N142" i="4" s="1"/>
  <c r="O142" i="4" s="1"/>
  <c r="P142" i="4" s="1"/>
  <c r="AD6" i="5"/>
  <c r="AE6" i="5"/>
  <c r="AD46" i="5"/>
  <c r="K130" i="4"/>
  <c r="L130" i="4" s="1"/>
  <c r="M130" i="4" s="1"/>
  <c r="N130" i="4" s="1"/>
  <c r="O130" i="4" s="1"/>
  <c r="P130" i="4" s="1"/>
  <c r="AD14" i="5"/>
  <c r="AE14" i="5"/>
  <c r="AD5" i="5"/>
  <c r="AD79" i="5"/>
  <c r="AE79" i="5"/>
  <c r="N116" i="4"/>
  <c r="AD13" i="5"/>
  <c r="AD25" i="5"/>
  <c r="AE25" i="5"/>
  <c r="K134" i="4"/>
  <c r="L134" i="4" s="1"/>
  <c r="M134" i="4" s="1"/>
  <c r="N134" i="4" s="1"/>
  <c r="O134" i="4" s="1"/>
  <c r="P134" i="4" s="1"/>
  <c r="AD9" i="5"/>
  <c r="AD76" i="5"/>
  <c r="AE76" i="5"/>
  <c r="M112" i="4"/>
  <c r="K114" i="4"/>
  <c r="N114" i="4"/>
  <c r="K112" i="4"/>
  <c r="K116" i="4"/>
  <c r="L112" i="4"/>
  <c r="L116" i="4"/>
  <c r="M116" i="4"/>
  <c r="L114" i="4"/>
  <c r="AD67" i="5" l="1"/>
  <c r="Y144" i="1"/>
  <c r="AA144" i="1"/>
  <c r="AB144" i="1" s="1"/>
  <c r="AG144" i="1"/>
  <c r="AF144" i="1"/>
  <c r="Y149" i="1"/>
  <c r="Y148" i="1"/>
  <c r="Y147" i="1"/>
  <c r="Y146" i="1"/>
  <c r="Y145" i="1"/>
  <c r="W144" i="1"/>
  <c r="U144" i="1"/>
  <c r="R144" i="1"/>
  <c r="K144" i="1"/>
  <c r="AE144" i="1" l="1"/>
  <c r="AC144" i="1"/>
  <c r="AD144" i="1" s="1"/>
  <c r="AG149" i="1"/>
  <c r="AF149" i="1"/>
  <c r="AA149" i="1"/>
  <c r="AE149" i="1" s="1"/>
  <c r="W149" i="1"/>
  <c r="U149" i="1"/>
  <c r="R149" i="1"/>
  <c r="L149" i="1"/>
  <c r="K149" i="1"/>
  <c r="AG148" i="1"/>
  <c r="AF148" i="1"/>
  <c r="AA148" i="1"/>
  <c r="AB148" i="1" s="1"/>
  <c r="W148" i="1"/>
  <c r="U148" i="1"/>
  <c r="R148" i="1"/>
  <c r="L148" i="1"/>
  <c r="K148" i="1"/>
  <c r="AG147" i="1"/>
  <c r="AF147" i="1"/>
  <c r="AA147" i="1"/>
  <c r="AB147" i="1" s="1"/>
  <c r="W147" i="1"/>
  <c r="U147" i="1"/>
  <c r="R147" i="1"/>
  <c r="L147" i="1"/>
  <c r="K147" i="1"/>
  <c r="AC147" i="1" l="1"/>
  <c r="AD147" i="1" s="1"/>
  <c r="AE148" i="1"/>
  <c r="AC148" i="1"/>
  <c r="AD148" i="1" s="1"/>
  <c r="AC149" i="1"/>
  <c r="AD149" i="1" s="1"/>
  <c r="AB149" i="1"/>
  <c r="AE147" i="1"/>
  <c r="AG146" i="1"/>
  <c r="AF146" i="1"/>
  <c r="AA146" i="1"/>
  <c r="AE146" i="1" s="1"/>
  <c r="W146" i="1"/>
  <c r="U146" i="1"/>
  <c r="R146" i="1"/>
  <c r="L146" i="1"/>
  <c r="K146" i="1"/>
  <c r="AB146" i="1" l="1"/>
  <c r="AC146" i="1"/>
  <c r="AD146" i="1" s="1"/>
  <c r="AG145" i="1" l="1"/>
  <c r="AF145" i="1"/>
  <c r="AC145" i="1"/>
  <c r="AD145" i="1" s="1"/>
  <c r="AA145" i="1"/>
  <c r="AB145" i="1" s="1"/>
  <c r="W145" i="1"/>
  <c r="U145" i="1"/>
  <c r="R145" i="1"/>
  <c r="L145" i="1"/>
  <c r="K145" i="1"/>
  <c r="AE145" i="1" l="1"/>
  <c r="Y216" i="1" l="1"/>
  <c r="AA216" i="1"/>
  <c r="AB216" i="1" s="1"/>
  <c r="AG216" i="1"/>
  <c r="AF216" i="1"/>
  <c r="W216" i="1"/>
  <c r="U216" i="1"/>
  <c r="R216" i="1"/>
  <c r="L216" i="1"/>
  <c r="K216" i="1"/>
  <c r="AG201" i="1"/>
  <c r="AF201" i="1"/>
  <c r="AA201" i="1"/>
  <c r="AB201" i="1" s="1"/>
  <c r="W201" i="1"/>
  <c r="U201" i="1"/>
  <c r="R201" i="1"/>
  <c r="L201" i="1"/>
  <c r="K201" i="1"/>
  <c r="AA200" i="1"/>
  <c r="AB200" i="1" s="1"/>
  <c r="AG200" i="1"/>
  <c r="AF200" i="1"/>
  <c r="W200" i="1"/>
  <c r="U200" i="1"/>
  <c r="R200" i="1"/>
  <c r="L200" i="1"/>
  <c r="K200" i="1"/>
  <c r="Y184" i="1"/>
  <c r="AA184" i="1"/>
  <c r="AB184" i="1" s="1"/>
  <c r="AG184" i="1"/>
  <c r="AF184" i="1"/>
  <c r="W184" i="1"/>
  <c r="U184" i="1"/>
  <c r="R184" i="1"/>
  <c r="L184" i="1"/>
  <c r="K184" i="1"/>
  <c r="AA183" i="1"/>
  <c r="AB183" i="1" s="1"/>
  <c r="AG183" i="1"/>
  <c r="AF183" i="1"/>
  <c r="W183" i="1"/>
  <c r="U183" i="1"/>
  <c r="R183" i="1"/>
  <c r="L183" i="1"/>
  <c r="K183" i="1"/>
  <c r="AA178" i="1"/>
  <c r="AB178" i="1" s="1"/>
  <c r="AG178" i="1"/>
  <c r="AF178" i="1"/>
  <c r="Y178" i="1"/>
  <c r="W178" i="1"/>
  <c r="U178" i="1"/>
  <c r="R178" i="1"/>
  <c r="L178" i="1"/>
  <c r="K178" i="1"/>
  <c r="AE178" i="1" l="1"/>
  <c r="AE184" i="1"/>
  <c r="AE216" i="1"/>
  <c r="AC178" i="1"/>
  <c r="AD178" i="1" s="1"/>
  <c r="AC216" i="1"/>
  <c r="AD216" i="1" s="1"/>
  <c r="Y201" i="1"/>
  <c r="AE201" i="1" s="1"/>
  <c r="AC201" i="1"/>
  <c r="AD201" i="1" s="1"/>
  <c r="AC200" i="1"/>
  <c r="AD200" i="1" s="1"/>
  <c r="Y200" i="1"/>
  <c r="AE200" i="1" s="1"/>
  <c r="AC184" i="1"/>
  <c r="AD184" i="1" s="1"/>
  <c r="AC183" i="1"/>
  <c r="AD183" i="1" s="1"/>
  <c r="Y183" i="1"/>
  <c r="AE183" i="1" s="1"/>
  <c r="AA151" i="1"/>
  <c r="Y151" i="1"/>
  <c r="W151" i="1"/>
  <c r="U151" i="1"/>
  <c r="R151" i="1"/>
  <c r="L151" i="1"/>
  <c r="K151" i="1"/>
  <c r="AA150" i="1"/>
  <c r="AB150" i="1" s="1"/>
  <c r="AF150" i="1"/>
  <c r="Y150" i="1"/>
  <c r="W150" i="1"/>
  <c r="U150" i="1"/>
  <c r="R150" i="1"/>
  <c r="L150" i="1"/>
  <c r="K150" i="1"/>
  <c r="AG124" i="1"/>
  <c r="AF124" i="1"/>
  <c r="AA124" i="1"/>
  <c r="AB124" i="1" s="1"/>
  <c r="Y124" i="1"/>
  <c r="W124" i="1"/>
  <c r="U124" i="1"/>
  <c r="R124" i="1"/>
  <c r="L124" i="1"/>
  <c r="K124" i="1"/>
  <c r="AA123" i="1"/>
  <c r="AB123" i="1" s="1"/>
  <c r="Y123" i="1"/>
  <c r="W123" i="1"/>
  <c r="U123" i="1"/>
  <c r="R123" i="1"/>
  <c r="L123" i="1"/>
  <c r="K123" i="1"/>
  <c r="AG122" i="1"/>
  <c r="AF122" i="1"/>
  <c r="AA122" i="1"/>
  <c r="Y122" i="1"/>
  <c r="W122" i="1"/>
  <c r="U122" i="1"/>
  <c r="R122" i="1"/>
  <c r="L122" i="1"/>
  <c r="K122" i="1"/>
  <c r="AG121" i="1"/>
  <c r="AF121" i="1"/>
  <c r="AA121" i="1"/>
  <c r="Y121" i="1"/>
  <c r="W121" i="1"/>
  <c r="U121" i="1"/>
  <c r="R121" i="1"/>
  <c r="L121" i="1"/>
  <c r="K121" i="1"/>
  <c r="AA120" i="1"/>
  <c r="AB120" i="1" s="1"/>
  <c r="Y120" i="1"/>
  <c r="W120" i="1"/>
  <c r="U120" i="1"/>
  <c r="R120" i="1"/>
  <c r="AF117" i="1"/>
  <c r="L120" i="1"/>
  <c r="K120" i="1"/>
  <c r="AG117" i="1"/>
  <c r="Y117" i="1"/>
  <c r="W117" i="1"/>
  <c r="AA117" i="1"/>
  <c r="AB117" i="1" s="1"/>
  <c r="U117" i="1"/>
  <c r="R117" i="1"/>
  <c r="L117" i="1"/>
  <c r="K117" i="1"/>
  <c r="AG109" i="1"/>
  <c r="AF109" i="1"/>
  <c r="AA109" i="1"/>
  <c r="AB109" i="1" s="1"/>
  <c r="W109" i="1"/>
  <c r="U109" i="1"/>
  <c r="R109" i="1"/>
  <c r="L109" i="1"/>
  <c r="K109" i="1"/>
  <c r="AG108" i="1"/>
  <c r="AF108" i="1"/>
  <c r="AA108" i="1"/>
  <c r="AB108" i="1" s="1"/>
  <c r="W108" i="1"/>
  <c r="U108" i="1"/>
  <c r="R108" i="1"/>
  <c r="L108" i="1"/>
  <c r="K108" i="1"/>
  <c r="Y108" i="1"/>
  <c r="AA107" i="1"/>
  <c r="AB107" i="1" s="1"/>
  <c r="AG107" i="1"/>
  <c r="AF107" i="1"/>
  <c r="W107" i="1"/>
  <c r="U107" i="1"/>
  <c r="R107" i="1"/>
  <c r="L107" i="1"/>
  <c r="K107" i="1"/>
  <c r="AA94" i="1"/>
  <c r="AB94" i="1" s="1"/>
  <c r="AG94" i="1"/>
  <c r="AF94" i="1"/>
  <c r="W94" i="1"/>
  <c r="U94" i="1"/>
  <c r="R94" i="1"/>
  <c r="L94" i="1"/>
  <c r="K94" i="1"/>
  <c r="AE120" i="1" l="1"/>
  <c r="AC122" i="1"/>
  <c r="AD122" i="1" s="1"/>
  <c r="AC124" i="1"/>
  <c r="AD124" i="1" s="1"/>
  <c r="AC123" i="1"/>
  <c r="AD123" i="1" s="1"/>
  <c r="AE124" i="1"/>
  <c r="AE151" i="1"/>
  <c r="AC150" i="1"/>
  <c r="AD150" i="1" s="1"/>
  <c r="AE117" i="1"/>
  <c r="AC120" i="1"/>
  <c r="AD120" i="1" s="1"/>
  <c r="AC117" i="1"/>
  <c r="AD117" i="1" s="1"/>
  <c r="Y94" i="1"/>
  <c r="AE94" i="1" s="1"/>
  <c r="AE121" i="1"/>
  <c r="AC151" i="1"/>
  <c r="AD151" i="1" s="1"/>
  <c r="AB151" i="1"/>
  <c r="AG151" i="1"/>
  <c r="AF151" i="1"/>
  <c r="AG150" i="1"/>
  <c r="AE150" i="1"/>
  <c r="AF123" i="1"/>
  <c r="AG123" i="1"/>
  <c r="AE123" i="1"/>
  <c r="AE122" i="1"/>
  <c r="AB122" i="1"/>
  <c r="AB121" i="1"/>
  <c r="AC121" i="1"/>
  <c r="AD121" i="1" s="1"/>
  <c r="AF120" i="1"/>
  <c r="AG120" i="1"/>
  <c r="Y109" i="1"/>
  <c r="AE109" i="1" s="1"/>
  <c r="AC109" i="1"/>
  <c r="AD109" i="1" s="1"/>
  <c r="AE108" i="1"/>
  <c r="AC108" i="1"/>
  <c r="AD108" i="1" s="1"/>
  <c r="AC107" i="1"/>
  <c r="AD107" i="1" s="1"/>
  <c r="Y107" i="1"/>
  <c r="AE107" i="1" s="1"/>
  <c r="AC94" i="1"/>
  <c r="AD94" i="1" s="1"/>
  <c r="AA199" i="1" l="1"/>
  <c r="AG79" i="1" l="1"/>
  <c r="AG78" i="1"/>
  <c r="AG77" i="1"/>
  <c r="AG76" i="1"/>
  <c r="AG75" i="1"/>
  <c r="AG74" i="1"/>
  <c r="AG73" i="1"/>
  <c r="AG72" i="1"/>
  <c r="AF79" i="1"/>
  <c r="AF78" i="1"/>
  <c r="AF77" i="1"/>
  <c r="AF76" i="1"/>
  <c r="AF75" i="1"/>
  <c r="AF74" i="1"/>
  <c r="AF73" i="1"/>
  <c r="AF72" i="1"/>
  <c r="Y79" i="1"/>
  <c r="Y78" i="1"/>
  <c r="Y77" i="1"/>
  <c r="Y76" i="1"/>
  <c r="Y75" i="1"/>
  <c r="Y74" i="1"/>
  <c r="Y73" i="1"/>
  <c r="Y72" i="1"/>
  <c r="R79" i="1" l="1"/>
  <c r="R78" i="1"/>
  <c r="R77" i="1"/>
  <c r="R76" i="1"/>
  <c r="R75" i="1"/>
  <c r="R74" i="1"/>
  <c r="R73" i="1"/>
  <c r="W79" i="1"/>
  <c r="U79" i="1"/>
  <c r="W78" i="1"/>
  <c r="U78" i="1"/>
  <c r="W77" i="1"/>
  <c r="U77" i="1"/>
  <c r="W76" i="1"/>
  <c r="U76" i="1"/>
  <c r="W75" i="1"/>
  <c r="U75" i="1"/>
  <c r="W74" i="1"/>
  <c r="U74" i="1"/>
  <c r="W73" i="1"/>
  <c r="U73" i="1"/>
  <c r="W72" i="1"/>
  <c r="U72" i="1"/>
  <c r="AA79" i="1"/>
  <c r="AB79" i="1" s="1"/>
  <c r="AA78" i="1"/>
  <c r="AB78" i="1" s="1"/>
  <c r="AA77" i="1"/>
  <c r="AB77" i="1" s="1"/>
  <c r="AA76" i="1"/>
  <c r="AB76" i="1" s="1"/>
  <c r="AA75" i="1"/>
  <c r="AB75" i="1" s="1"/>
  <c r="AA74" i="1"/>
  <c r="AB74" i="1" s="1"/>
  <c r="AA73" i="1"/>
  <c r="AB73" i="1" s="1"/>
  <c r="AA72" i="1"/>
  <c r="AB72" i="1" s="1"/>
  <c r="AE73" i="1" l="1"/>
  <c r="AE72" i="1"/>
  <c r="AE79" i="1"/>
  <c r="AE78" i="1"/>
  <c r="AE77" i="1"/>
  <c r="AE76" i="1"/>
  <c r="AE75" i="1"/>
  <c r="AE74" i="1"/>
  <c r="AC72" i="1"/>
  <c r="AD72" i="1" s="1"/>
  <c r="AC79" i="1" l="1"/>
  <c r="AD79" i="1" s="1"/>
  <c r="AC78" i="1"/>
  <c r="AD78" i="1" s="1"/>
  <c r="AC75" i="1"/>
  <c r="AD75" i="1" s="1"/>
  <c r="AC74" i="1"/>
  <c r="AD74" i="1" s="1"/>
  <c r="AC73" i="1"/>
  <c r="AD73" i="1" s="1"/>
  <c r="AC77" i="1" l="1"/>
  <c r="AD77" i="1" s="1"/>
  <c r="AC76" i="1" l="1"/>
  <c r="AD76" i="1" s="1"/>
  <c r="L79" i="1" l="1"/>
  <c r="L78" i="1"/>
  <c r="L77" i="1"/>
  <c r="L76" i="1"/>
  <c r="L75" i="1"/>
  <c r="L74" i="1"/>
  <c r="L73" i="1"/>
  <c r="K79" i="1"/>
  <c r="K78" i="1"/>
  <c r="K77" i="1"/>
  <c r="K76" i="1"/>
  <c r="K75" i="1"/>
  <c r="K74" i="1"/>
  <c r="K73" i="1"/>
  <c r="AG71" i="1" l="1"/>
  <c r="AF71" i="1"/>
  <c r="AA71" i="1"/>
  <c r="AB71" i="1" s="1"/>
  <c r="Y71" i="1"/>
  <c r="AG70" i="1"/>
  <c r="AF70" i="1"/>
  <c r="AA70" i="1"/>
  <c r="AB70" i="1" s="1"/>
  <c r="Y70" i="1"/>
  <c r="AG69" i="1"/>
  <c r="AF69" i="1"/>
  <c r="AA69" i="1"/>
  <c r="Y69" i="1"/>
  <c r="AG68" i="1"/>
  <c r="AF68" i="1"/>
  <c r="AA68" i="1"/>
  <c r="Y68" i="1"/>
  <c r="AG67" i="1"/>
  <c r="AF67" i="1"/>
  <c r="AA67" i="1"/>
  <c r="AB67" i="1" s="1"/>
  <c r="Y67" i="1"/>
  <c r="AG66" i="1"/>
  <c r="AF66" i="1"/>
  <c r="AA66" i="1"/>
  <c r="AB66" i="1" s="1"/>
  <c r="Y66" i="1"/>
  <c r="AG65" i="1"/>
  <c r="AF65" i="1"/>
  <c r="AA65" i="1"/>
  <c r="AB65" i="1" s="1"/>
  <c r="Y65" i="1"/>
  <c r="W71" i="1"/>
  <c r="U71" i="1"/>
  <c r="R71" i="1"/>
  <c r="L71" i="1"/>
  <c r="K71" i="1"/>
  <c r="W70" i="1"/>
  <c r="U70" i="1"/>
  <c r="R70" i="1"/>
  <c r="L70" i="1"/>
  <c r="K70" i="1"/>
  <c r="W69" i="1"/>
  <c r="U69" i="1"/>
  <c r="R69" i="1"/>
  <c r="L69" i="1"/>
  <c r="K69" i="1"/>
  <c r="W68" i="1"/>
  <c r="U68" i="1"/>
  <c r="R68" i="1"/>
  <c r="L68" i="1"/>
  <c r="K68" i="1"/>
  <c r="W67" i="1"/>
  <c r="U67" i="1"/>
  <c r="R67" i="1"/>
  <c r="L67" i="1"/>
  <c r="K67" i="1"/>
  <c r="W66" i="1"/>
  <c r="U66" i="1"/>
  <c r="R66" i="1"/>
  <c r="L66" i="1"/>
  <c r="K66" i="1"/>
  <c r="W65" i="1"/>
  <c r="U65" i="1"/>
  <c r="R65" i="1"/>
  <c r="L65" i="1"/>
  <c r="K65" i="1"/>
  <c r="AE65" i="1" l="1"/>
  <c r="AE68" i="1"/>
  <c r="AB68" i="1"/>
  <c r="AE71" i="1"/>
  <c r="AE70" i="1"/>
  <c r="AE69" i="1"/>
  <c r="AE67" i="1"/>
  <c r="AE66" i="1"/>
  <c r="AC65" i="1"/>
  <c r="AD65" i="1" s="1"/>
  <c r="AB69" i="1"/>
  <c r="AC69" i="1" l="1"/>
  <c r="AD69" i="1" s="1"/>
  <c r="AC66" i="1"/>
  <c r="AD66" i="1" s="1"/>
  <c r="AC68" i="1" l="1"/>
  <c r="AD68" i="1" s="1"/>
  <c r="AC67" i="1" l="1"/>
  <c r="AD67" i="1" s="1"/>
  <c r="AC70" i="1" l="1"/>
  <c r="AD70" i="1" s="1"/>
  <c r="AC71" i="1" l="1"/>
  <c r="AD71" i="1" s="1"/>
  <c r="U227" i="1" l="1"/>
  <c r="U226" i="1"/>
  <c r="U225" i="1"/>
  <c r="U228" i="1"/>
  <c r="U224" i="1"/>
  <c r="U223" i="1"/>
  <c r="U219" i="1"/>
  <c r="U221" i="1"/>
  <c r="U220" i="1"/>
  <c r="U222" i="1"/>
  <c r="U218" i="1"/>
  <c r="U217" i="1"/>
  <c r="U215" i="1"/>
  <c r="U214" i="1"/>
  <c r="U213" i="1"/>
  <c r="U212" i="1"/>
  <c r="U211" i="1"/>
  <c r="U210" i="1"/>
  <c r="U209" i="1"/>
  <c r="U208" i="1"/>
  <c r="U207" i="1"/>
  <c r="U205" i="1"/>
  <c r="U204" i="1"/>
  <c r="U206" i="1"/>
  <c r="U203" i="1"/>
  <c r="U202" i="1"/>
  <c r="U199" i="1"/>
  <c r="U198" i="1"/>
  <c r="U197" i="1"/>
  <c r="U196" i="1"/>
  <c r="U194" i="1"/>
  <c r="U195" i="1"/>
  <c r="U193" i="1"/>
  <c r="U192" i="1"/>
  <c r="U191" i="1"/>
  <c r="U190" i="1"/>
  <c r="U189" i="1"/>
  <c r="U188" i="1"/>
  <c r="U187" i="1"/>
  <c r="U186" i="1"/>
  <c r="U185" i="1"/>
  <c r="U182" i="1"/>
  <c r="U181" i="1"/>
  <c r="U180" i="1"/>
  <c r="U179" i="1"/>
  <c r="U177" i="1"/>
  <c r="U176" i="1"/>
  <c r="U175" i="1"/>
  <c r="U174" i="1"/>
  <c r="U173" i="1"/>
  <c r="U170" i="1"/>
  <c r="U169" i="1"/>
  <c r="U168" i="1"/>
  <c r="U167" i="1"/>
  <c r="U172" i="1"/>
  <c r="U171" i="1"/>
  <c r="U166" i="1"/>
  <c r="U165" i="1"/>
  <c r="U164" i="1"/>
  <c r="U163" i="1"/>
  <c r="U162" i="1"/>
  <c r="U161" i="1"/>
  <c r="U154" i="1"/>
  <c r="U160" i="1"/>
  <c r="U159" i="1"/>
  <c r="U153" i="1"/>
  <c r="U158" i="1"/>
  <c r="U157" i="1"/>
  <c r="U152" i="1"/>
  <c r="U156" i="1"/>
  <c r="U155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19" i="1"/>
  <c r="U118" i="1"/>
  <c r="U116" i="1"/>
  <c r="U115" i="1"/>
  <c r="U114" i="1"/>
  <c r="U113" i="1"/>
  <c r="U112" i="1"/>
  <c r="U111" i="1"/>
  <c r="U110" i="1"/>
  <c r="U106" i="1"/>
  <c r="U105" i="1"/>
  <c r="U104" i="1"/>
  <c r="U103" i="1"/>
  <c r="U102" i="1"/>
  <c r="U101" i="1"/>
  <c r="U100" i="1"/>
  <c r="U99" i="1"/>
  <c r="U98" i="1"/>
  <c r="U97" i="1"/>
  <c r="U96" i="1"/>
  <c r="U95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24" i="1"/>
  <c r="U23" i="1"/>
  <c r="U22" i="1"/>
  <c r="U21" i="1"/>
  <c r="U20" i="1"/>
  <c r="U19" i="1"/>
  <c r="U3" i="1"/>
  <c r="U2" i="1"/>
  <c r="W228" i="1" l="1"/>
  <c r="W225" i="1"/>
  <c r="W226" i="1"/>
  <c r="AG220" i="1" l="1"/>
  <c r="AG221" i="1"/>
  <c r="Y179" i="1" l="1"/>
  <c r="AG181" i="1"/>
  <c r="AF181" i="1"/>
  <c r="AA181" i="1"/>
  <c r="AB181" i="1" s="1"/>
  <c r="Y181" i="1"/>
  <c r="L181" i="1"/>
  <c r="K181" i="1"/>
  <c r="W181" i="1"/>
  <c r="R181" i="1"/>
  <c r="AG180" i="1"/>
  <c r="AF180" i="1"/>
  <c r="AA180" i="1"/>
  <c r="Y180" i="1"/>
  <c r="L180" i="1"/>
  <c r="K180" i="1"/>
  <c r="W180" i="1"/>
  <c r="R180" i="1"/>
  <c r="AE180" i="1" l="1"/>
  <c r="AC181" i="1"/>
  <c r="AD181" i="1" s="1"/>
  <c r="AE181" i="1"/>
  <c r="AB180" i="1"/>
  <c r="AC180" i="1"/>
  <c r="AD180" i="1" s="1"/>
  <c r="AG223" i="1" l="1"/>
  <c r="AF223" i="1"/>
  <c r="AG219" i="1"/>
  <c r="AG130" i="1" l="1"/>
  <c r="AF130" i="1"/>
  <c r="AB130" i="1"/>
  <c r="Y130" i="1"/>
  <c r="AE130" i="1" s="1"/>
  <c r="L130" i="1"/>
  <c r="K130" i="1"/>
  <c r="W130" i="1"/>
  <c r="R130" i="1"/>
  <c r="AG129" i="1"/>
  <c r="AF129" i="1"/>
  <c r="AB129" i="1"/>
  <c r="Y129" i="1"/>
  <c r="AE129" i="1" s="1"/>
  <c r="L129" i="1"/>
  <c r="K129" i="1"/>
  <c r="W129" i="1"/>
  <c r="R129" i="1"/>
  <c r="AG128" i="1"/>
  <c r="AF128" i="1"/>
  <c r="AB128" i="1"/>
  <c r="Y128" i="1"/>
  <c r="AE128" i="1" s="1"/>
  <c r="L128" i="1"/>
  <c r="K128" i="1"/>
  <c r="W128" i="1"/>
  <c r="R128" i="1"/>
  <c r="AG44" i="1"/>
  <c r="AF44" i="1"/>
  <c r="AA44" i="1"/>
  <c r="AB44" i="1" s="1"/>
  <c r="Y44" i="1"/>
  <c r="L44" i="1"/>
  <c r="K44" i="1"/>
  <c r="W44" i="1"/>
  <c r="R44" i="1"/>
  <c r="AC128" i="1" l="1"/>
  <c r="AD128" i="1" s="1"/>
  <c r="AC44" i="1"/>
  <c r="AD44" i="1" s="1"/>
  <c r="AE44" i="1"/>
  <c r="AC129" i="1"/>
  <c r="AD129" i="1" s="1"/>
  <c r="AC130" i="1"/>
  <c r="AD130" i="1" s="1"/>
  <c r="L227" i="1"/>
  <c r="L226" i="1"/>
  <c r="L225" i="1"/>
  <c r="L228" i="1"/>
  <c r="L224" i="1"/>
  <c r="L223" i="1"/>
  <c r="L219" i="1"/>
  <c r="L221" i="1"/>
  <c r="L220" i="1"/>
  <c r="L222" i="1"/>
  <c r="L218" i="1"/>
  <c r="L217" i="1"/>
  <c r="L215" i="1"/>
  <c r="L214" i="1"/>
  <c r="L213" i="1"/>
  <c r="L212" i="1"/>
  <c r="L211" i="1"/>
  <c r="L210" i="1"/>
  <c r="L209" i="1"/>
  <c r="L208" i="1"/>
  <c r="L207" i="1"/>
  <c r="L205" i="1"/>
  <c r="L204" i="1"/>
  <c r="L206" i="1"/>
  <c r="L203" i="1"/>
  <c r="L202" i="1"/>
  <c r="L199" i="1"/>
  <c r="L198" i="1"/>
  <c r="L197" i="1"/>
  <c r="L196" i="1"/>
  <c r="L194" i="1"/>
  <c r="L195" i="1"/>
  <c r="L193" i="1"/>
  <c r="L192" i="1"/>
  <c r="L191" i="1"/>
  <c r="L190" i="1"/>
  <c r="L189" i="1"/>
  <c r="L188" i="1"/>
  <c r="L187" i="1"/>
  <c r="L186" i="1"/>
  <c r="L185" i="1"/>
  <c r="L182" i="1"/>
  <c r="L179" i="1"/>
  <c r="L177" i="1"/>
  <c r="L176" i="1"/>
  <c r="L175" i="1"/>
  <c r="L174" i="1"/>
  <c r="L173" i="1"/>
  <c r="L170" i="1"/>
  <c r="L169" i="1"/>
  <c r="L168" i="1"/>
  <c r="L167" i="1"/>
  <c r="L172" i="1"/>
  <c r="L171" i="1"/>
  <c r="L166" i="1"/>
  <c r="L165" i="1"/>
  <c r="L164" i="1"/>
  <c r="L163" i="1"/>
  <c r="L162" i="1"/>
  <c r="L161" i="1"/>
  <c r="L154" i="1"/>
  <c r="L160" i="1"/>
  <c r="L159" i="1"/>
  <c r="L153" i="1"/>
  <c r="L158" i="1"/>
  <c r="L157" i="1"/>
  <c r="L152" i="1"/>
  <c r="L156" i="1"/>
  <c r="L155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27" i="1"/>
  <c r="L126" i="1"/>
  <c r="L125" i="1"/>
  <c r="L119" i="1"/>
  <c r="L118" i="1"/>
  <c r="L116" i="1"/>
  <c r="L115" i="1"/>
  <c r="L114" i="1"/>
  <c r="L113" i="1"/>
  <c r="L112" i="1"/>
  <c r="L111" i="1"/>
  <c r="L110" i="1"/>
  <c r="L106" i="1"/>
  <c r="L105" i="1"/>
  <c r="L104" i="1"/>
  <c r="L103" i="1"/>
  <c r="L102" i="1"/>
  <c r="L101" i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2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24" i="1"/>
  <c r="L23" i="1"/>
  <c r="L22" i="1"/>
  <c r="L21" i="1"/>
  <c r="L20" i="1"/>
  <c r="L19" i="1"/>
  <c r="L3" i="1"/>
  <c r="L2" i="1"/>
  <c r="K227" i="1"/>
  <c r="K226" i="1"/>
  <c r="K225" i="1"/>
  <c r="K228" i="1"/>
  <c r="K224" i="1"/>
  <c r="K223" i="1"/>
  <c r="K219" i="1"/>
  <c r="K221" i="1"/>
  <c r="K220" i="1"/>
  <c r="K222" i="1"/>
  <c r="K218" i="1"/>
  <c r="K217" i="1"/>
  <c r="K215" i="1"/>
  <c r="K214" i="1"/>
  <c r="K213" i="1"/>
  <c r="K212" i="1"/>
  <c r="K211" i="1"/>
  <c r="K210" i="1"/>
  <c r="K209" i="1"/>
  <c r="K208" i="1"/>
  <c r="K207" i="1"/>
  <c r="K205" i="1"/>
  <c r="K204" i="1"/>
  <c r="K206" i="1"/>
  <c r="K203" i="1"/>
  <c r="K202" i="1"/>
  <c r="K199" i="1"/>
  <c r="K198" i="1"/>
  <c r="K197" i="1"/>
  <c r="K196" i="1"/>
  <c r="K194" i="1"/>
  <c r="K195" i="1"/>
  <c r="K193" i="1"/>
  <c r="K192" i="1"/>
  <c r="K191" i="1"/>
  <c r="K190" i="1"/>
  <c r="K189" i="1"/>
  <c r="K188" i="1"/>
  <c r="K187" i="1"/>
  <c r="K186" i="1"/>
  <c r="K185" i="1"/>
  <c r="K182" i="1"/>
  <c r="K179" i="1"/>
  <c r="K177" i="1"/>
  <c r="K176" i="1"/>
  <c r="K175" i="1"/>
  <c r="K174" i="1"/>
  <c r="K173" i="1"/>
  <c r="K170" i="1"/>
  <c r="K169" i="1"/>
  <c r="K168" i="1"/>
  <c r="K167" i="1"/>
  <c r="K172" i="1"/>
  <c r="K171" i="1"/>
  <c r="K166" i="1"/>
  <c r="K165" i="1"/>
  <c r="K164" i="1"/>
  <c r="K163" i="1"/>
  <c r="K162" i="1"/>
  <c r="K161" i="1"/>
  <c r="K154" i="1"/>
  <c r="K160" i="1"/>
  <c r="K159" i="1"/>
  <c r="K153" i="1"/>
  <c r="K158" i="1"/>
  <c r="K157" i="1"/>
  <c r="K152" i="1"/>
  <c r="K156" i="1"/>
  <c r="K155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27" i="1"/>
  <c r="K126" i="1"/>
  <c r="K125" i="1"/>
  <c r="K119" i="1"/>
  <c r="K118" i="1"/>
  <c r="K116" i="1"/>
  <c r="K115" i="1"/>
  <c r="K114" i="1"/>
  <c r="K113" i="1"/>
  <c r="K112" i="1"/>
  <c r="K111" i="1"/>
  <c r="K110" i="1"/>
  <c r="K106" i="1"/>
  <c r="K105" i="1"/>
  <c r="K104" i="1"/>
  <c r="K103" i="1"/>
  <c r="K102" i="1"/>
  <c r="K101" i="1"/>
  <c r="K100" i="1"/>
  <c r="K99" i="1"/>
  <c r="K98" i="1"/>
  <c r="K97" i="1"/>
  <c r="K96" i="1"/>
  <c r="K95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2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4" i="1"/>
  <c r="K23" i="1"/>
  <c r="K22" i="1"/>
  <c r="K21" i="1"/>
  <c r="K20" i="1"/>
  <c r="K19" i="1"/>
  <c r="K3" i="1"/>
  <c r="K2" i="1"/>
  <c r="R227" i="1"/>
  <c r="R226" i="1"/>
  <c r="R225" i="1"/>
  <c r="R228" i="1"/>
  <c r="R224" i="1"/>
  <c r="R223" i="1"/>
  <c r="R219" i="1"/>
  <c r="R221" i="1"/>
  <c r="R220" i="1"/>
  <c r="R222" i="1"/>
  <c r="R218" i="1"/>
  <c r="R217" i="1"/>
  <c r="R215" i="1"/>
  <c r="R214" i="1"/>
  <c r="R213" i="1"/>
  <c r="R212" i="1"/>
  <c r="R211" i="1"/>
  <c r="R210" i="1"/>
  <c r="R209" i="1"/>
  <c r="R208" i="1"/>
  <c r="R207" i="1"/>
  <c r="R205" i="1"/>
  <c r="R204" i="1"/>
  <c r="R206" i="1"/>
  <c r="R203" i="1"/>
  <c r="R202" i="1"/>
  <c r="R199" i="1"/>
  <c r="R198" i="1"/>
  <c r="R197" i="1"/>
  <c r="R196" i="1"/>
  <c r="R194" i="1"/>
  <c r="R195" i="1"/>
  <c r="R193" i="1"/>
  <c r="R192" i="1"/>
  <c r="R191" i="1"/>
  <c r="R190" i="1"/>
  <c r="R189" i="1"/>
  <c r="R188" i="1"/>
  <c r="R187" i="1"/>
  <c r="R186" i="1"/>
  <c r="R185" i="1"/>
  <c r="R182" i="1"/>
  <c r="R179" i="1"/>
  <c r="R177" i="1"/>
  <c r="R176" i="1"/>
  <c r="R175" i="1"/>
  <c r="R174" i="1"/>
  <c r="R173" i="1"/>
  <c r="R170" i="1"/>
  <c r="R169" i="1"/>
  <c r="R168" i="1"/>
  <c r="R167" i="1"/>
  <c r="R172" i="1"/>
  <c r="R171" i="1"/>
  <c r="R166" i="1"/>
  <c r="R165" i="1"/>
  <c r="R164" i="1"/>
  <c r="R163" i="1"/>
  <c r="R162" i="1"/>
  <c r="R161" i="1"/>
  <c r="R154" i="1"/>
  <c r="R160" i="1"/>
  <c r="R159" i="1"/>
  <c r="R153" i="1"/>
  <c r="R158" i="1"/>
  <c r="R157" i="1"/>
  <c r="R152" i="1"/>
  <c r="R156" i="1"/>
  <c r="R155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27" i="1"/>
  <c r="R126" i="1"/>
  <c r="R125" i="1"/>
  <c r="R119" i="1"/>
  <c r="R118" i="1"/>
  <c r="R116" i="1"/>
  <c r="R115" i="1"/>
  <c r="R114" i="1"/>
  <c r="R113" i="1"/>
  <c r="R112" i="1"/>
  <c r="R111" i="1"/>
  <c r="R110" i="1"/>
  <c r="R106" i="1"/>
  <c r="R105" i="1"/>
  <c r="R104" i="1"/>
  <c r="R103" i="1"/>
  <c r="R102" i="1"/>
  <c r="R101" i="1"/>
  <c r="R100" i="1"/>
  <c r="R99" i="1"/>
  <c r="R98" i="1"/>
  <c r="R97" i="1"/>
  <c r="R96" i="1"/>
  <c r="R95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2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24" i="1"/>
  <c r="R23" i="1"/>
  <c r="R22" i="1"/>
  <c r="R21" i="1"/>
  <c r="R20" i="1"/>
  <c r="R19" i="1"/>
  <c r="R3" i="1"/>
  <c r="R2" i="1"/>
  <c r="AG161" i="1" l="1"/>
  <c r="AG154" i="1"/>
  <c r="AG160" i="1"/>
  <c r="AG153" i="1"/>
  <c r="AG158" i="1"/>
  <c r="AG157" i="1"/>
  <c r="AG156" i="1"/>
  <c r="AG190" i="1" l="1"/>
  <c r="AF190" i="1"/>
  <c r="AB190" i="1"/>
  <c r="W190" i="1"/>
  <c r="AG189" i="1"/>
  <c r="AF189" i="1"/>
  <c r="AB189" i="1"/>
  <c r="W189" i="1"/>
  <c r="AG188" i="1"/>
  <c r="AF188" i="1"/>
  <c r="AB188" i="1"/>
  <c r="W188" i="1"/>
  <c r="AG187" i="1"/>
  <c r="AF187" i="1"/>
  <c r="AB187" i="1"/>
  <c r="W187" i="1"/>
  <c r="AG186" i="1"/>
  <c r="AF186" i="1"/>
  <c r="AB186" i="1"/>
  <c r="W186" i="1"/>
  <c r="AG185" i="1"/>
  <c r="Y190" i="1" l="1"/>
  <c r="AE190" i="1" s="1"/>
  <c r="AC190" i="1"/>
  <c r="AD190" i="1" s="1"/>
  <c r="Y189" i="1"/>
  <c r="AE189" i="1" s="1"/>
  <c r="AC189" i="1"/>
  <c r="AD189" i="1" s="1"/>
  <c r="Y188" i="1"/>
  <c r="AE188" i="1" s="1"/>
  <c r="AC188" i="1"/>
  <c r="AD188" i="1" s="1"/>
  <c r="Y187" i="1"/>
  <c r="AE187" i="1" s="1"/>
  <c r="AC187" i="1"/>
  <c r="AD187" i="1" s="1"/>
  <c r="Y186" i="1"/>
  <c r="AE186" i="1" s="1"/>
  <c r="AC186" i="1"/>
  <c r="AD186" i="1" s="1"/>
  <c r="AG139" i="1" l="1"/>
  <c r="AF139" i="1"/>
  <c r="AB139" i="1"/>
  <c r="W139" i="1"/>
  <c r="AG138" i="1"/>
  <c r="AF138" i="1"/>
  <c r="AB138" i="1"/>
  <c r="W138" i="1"/>
  <c r="AG137" i="1"/>
  <c r="AF137" i="1"/>
  <c r="AB137" i="1"/>
  <c r="W137" i="1"/>
  <c r="W140" i="1"/>
  <c r="AB140" i="1"/>
  <c r="AF140" i="1"/>
  <c r="AG140" i="1"/>
  <c r="AG136" i="1"/>
  <c r="AF136" i="1"/>
  <c r="AB136" i="1"/>
  <c r="W136" i="1"/>
  <c r="AG135" i="1"/>
  <c r="AF135" i="1"/>
  <c r="AB135" i="1"/>
  <c r="W135" i="1"/>
  <c r="AG134" i="1"/>
  <c r="AF134" i="1"/>
  <c r="AB134" i="1"/>
  <c r="W134" i="1"/>
  <c r="AG133" i="1"/>
  <c r="AF133" i="1"/>
  <c r="AB133" i="1"/>
  <c r="W133" i="1"/>
  <c r="AG132" i="1"/>
  <c r="AF132" i="1"/>
  <c r="AB132" i="1"/>
  <c r="W132" i="1"/>
  <c r="Y140" i="1" l="1"/>
  <c r="AE140" i="1" s="1"/>
  <c r="AC136" i="1"/>
  <c r="AD136" i="1" s="1"/>
  <c r="Y134" i="1"/>
  <c r="AE134" i="1" s="1"/>
  <c r="AC135" i="1"/>
  <c r="AD135" i="1" s="1"/>
  <c r="Y139" i="1"/>
  <c r="AE139" i="1" s="1"/>
  <c r="AC139" i="1"/>
  <c r="AD139" i="1" s="1"/>
  <c r="Y138" i="1"/>
  <c r="AE138" i="1" s="1"/>
  <c r="AC138" i="1"/>
  <c r="AD138" i="1" s="1"/>
  <c r="Y137" i="1"/>
  <c r="AE137" i="1" s="1"/>
  <c r="AC137" i="1"/>
  <c r="AD137" i="1" s="1"/>
  <c r="AC140" i="1"/>
  <c r="AD140" i="1" s="1"/>
  <c r="Y136" i="1"/>
  <c r="AE136" i="1" s="1"/>
  <c r="Y135" i="1"/>
  <c r="AE135" i="1" s="1"/>
  <c r="AC134" i="1"/>
  <c r="AD134" i="1" s="1"/>
  <c r="Y133" i="1"/>
  <c r="AE133" i="1" s="1"/>
  <c r="AC133" i="1"/>
  <c r="AD133" i="1" s="1"/>
  <c r="Y132" i="1"/>
  <c r="AE132" i="1" s="1"/>
  <c r="AC132" i="1"/>
  <c r="AD132" i="1" s="1"/>
  <c r="AA223" i="1" l="1"/>
  <c r="AA55" i="1" l="1"/>
  <c r="AG35" i="1" l="1"/>
  <c r="AC35" i="1"/>
  <c r="AA2" i="1" l="1"/>
  <c r="AA3" i="1"/>
  <c r="W227" i="1" l="1"/>
  <c r="W224" i="1"/>
  <c r="W223" i="1"/>
  <c r="W219" i="1"/>
  <c r="W221" i="1"/>
  <c r="W220" i="1"/>
  <c r="W222" i="1"/>
  <c r="W218" i="1"/>
  <c r="W217" i="1"/>
  <c r="W215" i="1"/>
  <c r="W214" i="1"/>
  <c r="W213" i="1"/>
  <c r="W212" i="1"/>
  <c r="W211" i="1"/>
  <c r="W210" i="1"/>
  <c r="W209" i="1"/>
  <c r="W208" i="1"/>
  <c r="W207" i="1"/>
  <c r="W205" i="1"/>
  <c r="W204" i="1"/>
  <c r="W206" i="1"/>
  <c r="W203" i="1"/>
  <c r="W202" i="1"/>
  <c r="W199" i="1"/>
  <c r="W198" i="1"/>
  <c r="W197" i="1"/>
  <c r="W196" i="1"/>
  <c r="W194" i="1"/>
  <c r="W195" i="1"/>
  <c r="W193" i="1"/>
  <c r="W192" i="1"/>
  <c r="W191" i="1"/>
  <c r="W185" i="1"/>
  <c r="W182" i="1"/>
  <c r="W179" i="1"/>
  <c r="W177" i="1"/>
  <c r="W176" i="1"/>
  <c r="W175" i="1"/>
  <c r="W174" i="1"/>
  <c r="W173" i="1"/>
  <c r="W170" i="1"/>
  <c r="W169" i="1"/>
  <c r="W168" i="1"/>
  <c r="W167" i="1"/>
  <c r="W172" i="1"/>
  <c r="W171" i="1"/>
  <c r="W166" i="1"/>
  <c r="W165" i="1"/>
  <c r="W164" i="1"/>
  <c r="W163" i="1"/>
  <c r="W162" i="1"/>
  <c r="W161" i="1"/>
  <c r="W154" i="1"/>
  <c r="W160" i="1"/>
  <c r="W159" i="1"/>
  <c r="W153" i="1"/>
  <c r="W158" i="1"/>
  <c r="W157" i="1"/>
  <c r="W152" i="1"/>
  <c r="W156" i="1"/>
  <c r="W155" i="1"/>
  <c r="W143" i="1"/>
  <c r="W142" i="1"/>
  <c r="W141" i="1"/>
  <c r="W131" i="1"/>
  <c r="W127" i="1"/>
  <c r="W126" i="1"/>
  <c r="W125" i="1"/>
  <c r="W119" i="1"/>
  <c r="W118" i="1"/>
  <c r="W116" i="1"/>
  <c r="W115" i="1"/>
  <c r="W114" i="1"/>
  <c r="W113" i="1"/>
  <c r="W112" i="1"/>
  <c r="W111" i="1"/>
  <c r="W110" i="1"/>
  <c r="W106" i="1"/>
  <c r="W105" i="1"/>
  <c r="W104" i="1"/>
  <c r="W103" i="1"/>
  <c r="W102" i="1"/>
  <c r="W101" i="1"/>
  <c r="W100" i="1"/>
  <c r="W99" i="1"/>
  <c r="W98" i="1"/>
  <c r="W97" i="1"/>
  <c r="W96" i="1"/>
  <c r="W95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14" i="1"/>
  <c r="W13" i="1"/>
  <c r="W18" i="1"/>
  <c r="W17" i="1"/>
  <c r="W16" i="1"/>
  <c r="W15" i="1"/>
  <c r="W12" i="1"/>
  <c r="W11" i="1"/>
  <c r="W10" i="1"/>
  <c r="W9" i="1"/>
  <c r="W8" i="1"/>
  <c r="W7" i="1"/>
  <c r="W6" i="1"/>
  <c r="W5" i="1"/>
  <c r="W4" i="1"/>
  <c r="W24" i="1"/>
  <c r="W22" i="1"/>
  <c r="W21" i="1"/>
  <c r="W20" i="1"/>
  <c r="W23" i="1"/>
  <c r="W19" i="1"/>
  <c r="W3" i="1"/>
  <c r="W2" i="1"/>
  <c r="AF227" i="1" l="1"/>
  <c r="AF226" i="1"/>
  <c r="AF225" i="1"/>
  <c r="AF228" i="1"/>
  <c r="AF224" i="1"/>
  <c r="AF219" i="1"/>
  <c r="AF221" i="1"/>
  <c r="AF220" i="1"/>
  <c r="AF222" i="1"/>
  <c r="AF218" i="1"/>
  <c r="AF217" i="1"/>
  <c r="AF215" i="1"/>
  <c r="AF214" i="1"/>
  <c r="AF213" i="1"/>
  <c r="AF212" i="1"/>
  <c r="AF211" i="1"/>
  <c r="AF208" i="1"/>
  <c r="AF207" i="1"/>
  <c r="AF205" i="1"/>
  <c r="AF204" i="1"/>
  <c r="AF206" i="1"/>
  <c r="AF203" i="1"/>
  <c r="AF202" i="1"/>
  <c r="AF199" i="1"/>
  <c r="AF198" i="1"/>
  <c r="AF197" i="1"/>
  <c r="AF196" i="1"/>
  <c r="AF194" i="1"/>
  <c r="AF195" i="1"/>
  <c r="AF193" i="1"/>
  <c r="AF192" i="1"/>
  <c r="AF191" i="1"/>
  <c r="AF185" i="1"/>
  <c r="AF182" i="1"/>
  <c r="AF179" i="1"/>
  <c r="AF177" i="1"/>
  <c r="AF176" i="1"/>
  <c r="AF175" i="1"/>
  <c r="AF174" i="1"/>
  <c r="AF173" i="1"/>
  <c r="AF170" i="1"/>
  <c r="AF169" i="1"/>
  <c r="AF168" i="1"/>
  <c r="AF167" i="1"/>
  <c r="AF172" i="1"/>
  <c r="AF171" i="1"/>
  <c r="AF166" i="1"/>
  <c r="AF165" i="1"/>
  <c r="AF164" i="1"/>
  <c r="AF163" i="1"/>
  <c r="AF162" i="1"/>
  <c r="AF161" i="1"/>
  <c r="AF154" i="1"/>
  <c r="AF160" i="1"/>
  <c r="AF159" i="1"/>
  <c r="AF153" i="1"/>
  <c r="AF158" i="1"/>
  <c r="AF157" i="1"/>
  <c r="AF152" i="1"/>
  <c r="AF156" i="1"/>
  <c r="AF155" i="1"/>
  <c r="AF142" i="1"/>
  <c r="AF141" i="1"/>
  <c r="AF131" i="1"/>
  <c r="AF127" i="1"/>
  <c r="AF126" i="1"/>
  <c r="AF125" i="1"/>
  <c r="AF119" i="1"/>
  <c r="AF118" i="1"/>
  <c r="AF116" i="1"/>
  <c r="AF115" i="1"/>
  <c r="AF114" i="1"/>
  <c r="AF113" i="1"/>
  <c r="AF112" i="1"/>
  <c r="AF111" i="1"/>
  <c r="AF110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64" i="1"/>
  <c r="AF63" i="1"/>
  <c r="AF62" i="1"/>
  <c r="AF61" i="1"/>
  <c r="AF60" i="1"/>
  <c r="AF59" i="1"/>
  <c r="AF58" i="1"/>
  <c r="AF57" i="1"/>
  <c r="AF56" i="1"/>
  <c r="AF53" i="1"/>
  <c r="AF52" i="1"/>
  <c r="AF51" i="1"/>
  <c r="AF50" i="1"/>
  <c r="AF49" i="1"/>
  <c r="AF48" i="1"/>
  <c r="AF47" i="1"/>
  <c r="AF46" i="1"/>
  <c r="AF45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7" i="1"/>
  <c r="AF26" i="1"/>
  <c r="AF25" i="1"/>
  <c r="AF14" i="1"/>
  <c r="AF13" i="1"/>
  <c r="AF18" i="1"/>
  <c r="AF17" i="1"/>
  <c r="AF16" i="1"/>
  <c r="AF15" i="1"/>
  <c r="AF12" i="1"/>
  <c r="AF11" i="1"/>
  <c r="AF10" i="1"/>
  <c r="AF9" i="1"/>
  <c r="AF8" i="1"/>
  <c r="AF7" i="1"/>
  <c r="AF6" i="1"/>
  <c r="AF5" i="1"/>
  <c r="AF4" i="1"/>
  <c r="AF24" i="1"/>
  <c r="AF22" i="1"/>
  <c r="AF21" i="1"/>
  <c r="AF20" i="1"/>
  <c r="AF23" i="1"/>
  <c r="AF19" i="1"/>
  <c r="AF3" i="1"/>
  <c r="AF2" i="1"/>
  <c r="Y227" i="1"/>
  <c r="Y226" i="1"/>
  <c r="Y225" i="1"/>
  <c r="Y228" i="1"/>
  <c r="Y219" i="1"/>
  <c r="Y221" i="1"/>
  <c r="Y220" i="1"/>
  <c r="Y222" i="1"/>
  <c r="Y218" i="1"/>
  <c r="AE218" i="1" s="1"/>
  <c r="Y217" i="1"/>
  <c r="AE217" i="1" s="1"/>
  <c r="Y213" i="1"/>
  <c r="Y212" i="1"/>
  <c r="Y211" i="1"/>
  <c r="AE211" i="1" s="1"/>
  <c r="Y210" i="1"/>
  <c r="AE210" i="1" s="1"/>
  <c r="Y209" i="1"/>
  <c r="AE209" i="1" s="1"/>
  <c r="Y208" i="1"/>
  <c r="AE208" i="1" s="1"/>
  <c r="Y207" i="1"/>
  <c r="AE207" i="1" s="1"/>
  <c r="Y205" i="1"/>
  <c r="Y204" i="1"/>
  <c r="Y206" i="1"/>
  <c r="Y203" i="1"/>
  <c r="Y199" i="1"/>
  <c r="Y198" i="1"/>
  <c r="Y194" i="1"/>
  <c r="Y195" i="1"/>
  <c r="Y193" i="1"/>
  <c r="Y192" i="1"/>
  <c r="Y191" i="1"/>
  <c r="Y185" i="1"/>
  <c r="AE185" i="1" s="1"/>
  <c r="Y177" i="1"/>
  <c r="Y176" i="1"/>
  <c r="Y175" i="1"/>
  <c r="Y166" i="1"/>
  <c r="Y165" i="1"/>
  <c r="Y164" i="1"/>
  <c r="Y163" i="1"/>
  <c r="Y162" i="1"/>
  <c r="Y127" i="1"/>
  <c r="Y126" i="1"/>
  <c r="Y119" i="1"/>
  <c r="Y118" i="1"/>
  <c r="Y116" i="1"/>
  <c r="Y115" i="1"/>
  <c r="Y114" i="1"/>
  <c r="Y113" i="1"/>
  <c r="Y111" i="1"/>
  <c r="AE111" i="1" s="1"/>
  <c r="Y110" i="1"/>
  <c r="AE110" i="1" s="1"/>
  <c r="Y106" i="1"/>
  <c r="Y105" i="1"/>
  <c r="Y104" i="1"/>
  <c r="Y103" i="1"/>
  <c r="Y102" i="1"/>
  <c r="Y101" i="1"/>
  <c r="AE101" i="1" s="1"/>
  <c r="Y100" i="1"/>
  <c r="AE100" i="1" s="1"/>
  <c r="Y91" i="1"/>
  <c r="Y90" i="1"/>
  <c r="AE90" i="1" s="1"/>
  <c r="Y89" i="1"/>
  <c r="AE89" i="1" s="1"/>
  <c r="Y88" i="1"/>
  <c r="AE88" i="1" s="1"/>
  <c r="Y87" i="1"/>
  <c r="AE87" i="1" s="1"/>
  <c r="Y86" i="1"/>
  <c r="AE86" i="1" s="1"/>
  <c r="Y85" i="1"/>
  <c r="AE85" i="1" s="1"/>
  <c r="Y84" i="1"/>
  <c r="AE84" i="1" s="1"/>
  <c r="Y80" i="1"/>
  <c r="AE80" i="1" s="1"/>
  <c r="Y60" i="1"/>
  <c r="Y59" i="1"/>
  <c r="Y58" i="1"/>
  <c r="Y57" i="1"/>
  <c r="Y56" i="1"/>
  <c r="Y35" i="1"/>
  <c r="Y34" i="1"/>
  <c r="Y33" i="1"/>
  <c r="Y32" i="1"/>
  <c r="Y31" i="1"/>
  <c r="Y30" i="1"/>
  <c r="Y27" i="1"/>
  <c r="Y3" i="1"/>
  <c r="Y2" i="1"/>
  <c r="AE35" i="1" l="1"/>
  <c r="AB223" i="1"/>
  <c r="AB218" i="1"/>
  <c r="AB217" i="1"/>
  <c r="AB211" i="1"/>
  <c r="AB210" i="1"/>
  <c r="AB209" i="1"/>
  <c r="AB208" i="1"/>
  <c r="AB207" i="1"/>
  <c r="AB202" i="1"/>
  <c r="AB197" i="1"/>
  <c r="AB196" i="1"/>
  <c r="AB185" i="1"/>
  <c r="AB182" i="1"/>
  <c r="AB170" i="1"/>
  <c r="AB169" i="1"/>
  <c r="AB168" i="1"/>
  <c r="AB167" i="1"/>
  <c r="AB172" i="1"/>
  <c r="AB171" i="1"/>
  <c r="AB161" i="1"/>
  <c r="AB154" i="1"/>
  <c r="AB160" i="1"/>
  <c r="AB159" i="1"/>
  <c r="AB153" i="1"/>
  <c r="AB158" i="1"/>
  <c r="AB157" i="1"/>
  <c r="AB152" i="1"/>
  <c r="AB156" i="1"/>
  <c r="AB155" i="1"/>
  <c r="AB143" i="1"/>
  <c r="AB142" i="1"/>
  <c r="AB141" i="1"/>
  <c r="AB131" i="1"/>
  <c r="AB125" i="1"/>
  <c r="AB111" i="1"/>
  <c r="AB110" i="1"/>
  <c r="AB101" i="1"/>
  <c r="AB100" i="1"/>
  <c r="AB99" i="1"/>
  <c r="AB98" i="1"/>
  <c r="AB97" i="1"/>
  <c r="AB96" i="1"/>
  <c r="AB95" i="1"/>
  <c r="AB93" i="1"/>
  <c r="AB92" i="1"/>
  <c r="AB90" i="1"/>
  <c r="AB89" i="1"/>
  <c r="AB88" i="1"/>
  <c r="AB87" i="1"/>
  <c r="AB86" i="1"/>
  <c r="AB85" i="1"/>
  <c r="AB84" i="1"/>
  <c r="AB80" i="1"/>
  <c r="AB47" i="1"/>
  <c r="AB46" i="1"/>
  <c r="AB43" i="1"/>
  <c r="AB42" i="1"/>
  <c r="AB41" i="1"/>
  <c r="AB40" i="1"/>
  <c r="AB39" i="1"/>
  <c r="AB38" i="1"/>
  <c r="AB37" i="1"/>
  <c r="AB36" i="1"/>
  <c r="AB35" i="1"/>
  <c r="AB14" i="1"/>
  <c r="AB13" i="1"/>
  <c r="AB18" i="1"/>
  <c r="AB17" i="1"/>
  <c r="AB16" i="1"/>
  <c r="AB15" i="1"/>
  <c r="AB12" i="1"/>
  <c r="AB11" i="1"/>
  <c r="AB10" i="1"/>
  <c r="AB9" i="1"/>
  <c r="AB8" i="1"/>
  <c r="AB7" i="1"/>
  <c r="AB6" i="1"/>
  <c r="AB5" i="1"/>
  <c r="AB4" i="1"/>
  <c r="AB24" i="1"/>
  <c r="AB22" i="1"/>
  <c r="AB21" i="1"/>
  <c r="AB20" i="1"/>
  <c r="AB23" i="1"/>
  <c r="AB19" i="1"/>
  <c r="AG211" i="1" l="1"/>
  <c r="AG202" i="1"/>
  <c r="AG174" i="1"/>
  <c r="AG173" i="1"/>
  <c r="AG179" i="1"/>
  <c r="AG172" i="1"/>
  <c r="AG171" i="1"/>
  <c r="AG159" i="1"/>
  <c r="AG152" i="1"/>
  <c r="AG82" i="1"/>
  <c r="AG81" i="1"/>
  <c r="AG213" i="1"/>
  <c r="AG212" i="1"/>
  <c r="AG205" i="1"/>
  <c r="AG204" i="1"/>
  <c r="AG80" i="1"/>
  <c r="AG43" i="1"/>
  <c r="AG42" i="1"/>
  <c r="AG41" i="1"/>
  <c r="AG40" i="1"/>
  <c r="AG39" i="1"/>
  <c r="AG38" i="1"/>
  <c r="AG37" i="1"/>
  <c r="AG36" i="1"/>
  <c r="AG83" i="1"/>
  <c r="AG64" i="1"/>
  <c r="AG63" i="1"/>
  <c r="AG62" i="1"/>
  <c r="AG61" i="1"/>
  <c r="AG215" i="1"/>
  <c r="AG214" i="1"/>
  <c r="AG170" i="1"/>
  <c r="AG169" i="1"/>
  <c r="AG168" i="1"/>
  <c r="AG167" i="1"/>
  <c r="AG90" i="1"/>
  <c r="AG14" i="1"/>
  <c r="AG13" i="1"/>
  <c r="AG18" i="1"/>
  <c r="AG17" i="1"/>
  <c r="AG16" i="1"/>
  <c r="AG15" i="1"/>
  <c r="AG12" i="1"/>
  <c r="AG11" i="1"/>
  <c r="AG10" i="1"/>
  <c r="AG9" i="1"/>
  <c r="AG8" i="1"/>
  <c r="AG7" i="1"/>
  <c r="AG6" i="1"/>
  <c r="AG5" i="1"/>
  <c r="AG4" i="1"/>
  <c r="AG24" i="1"/>
  <c r="AG22" i="1"/>
  <c r="AG21" i="1"/>
  <c r="AG20" i="1"/>
  <c r="AG23" i="1"/>
  <c r="AG19" i="1"/>
  <c r="AG197" i="1"/>
  <c r="AG45" i="1"/>
  <c r="AG208" i="1"/>
  <c r="AG207" i="1"/>
  <c r="AG191" i="1"/>
  <c r="AG142" i="1"/>
  <c r="AG141" i="1"/>
  <c r="AG119" i="1"/>
  <c r="AG118" i="1"/>
  <c r="AG114" i="1"/>
  <c r="AG113" i="1"/>
  <c r="AG106" i="1"/>
  <c r="AG105" i="1"/>
  <c r="AG104" i="1"/>
  <c r="AG103" i="1"/>
  <c r="AG102" i="1"/>
  <c r="AG101" i="1"/>
  <c r="AG100" i="1"/>
  <c r="AG93" i="1"/>
  <c r="AG92" i="1"/>
  <c r="AG91" i="1"/>
  <c r="AG89" i="1"/>
  <c r="AG88" i="1"/>
  <c r="AG87" i="1"/>
  <c r="AG86" i="1"/>
  <c r="AG85" i="1"/>
  <c r="AG84" i="1"/>
  <c r="AG58" i="1"/>
  <c r="AG57" i="1"/>
  <c r="AG56" i="1"/>
  <c r="AG53" i="1"/>
  <c r="AG52" i="1"/>
  <c r="AG51" i="1"/>
  <c r="AG50" i="1"/>
  <c r="AG49" i="1"/>
  <c r="AG48" i="1"/>
  <c r="AG29" i="1"/>
  <c r="AG2" i="1"/>
  <c r="AG224" i="1"/>
  <c r="AG222" i="1"/>
  <c r="AG218" i="1"/>
  <c r="AG217" i="1"/>
  <c r="AG206" i="1"/>
  <c r="AG203" i="1"/>
  <c r="AG199" i="1"/>
  <c r="AG198" i="1"/>
  <c r="AG196" i="1"/>
  <c r="AG193" i="1"/>
  <c r="AG192" i="1"/>
  <c r="AG182" i="1"/>
  <c r="AG177" i="1"/>
  <c r="AG176" i="1"/>
  <c r="AG175" i="1"/>
  <c r="AG166" i="1"/>
  <c r="AG165" i="1"/>
  <c r="AG164" i="1"/>
  <c r="AG163" i="1"/>
  <c r="AG162" i="1"/>
  <c r="AG155" i="1"/>
  <c r="AG131" i="1"/>
  <c r="AG127" i="1"/>
  <c r="AG126" i="1"/>
  <c r="AG125" i="1"/>
  <c r="AG116" i="1"/>
  <c r="AG115" i="1"/>
  <c r="AG112" i="1"/>
  <c r="AG111" i="1"/>
  <c r="AG110" i="1"/>
  <c r="AG99" i="1"/>
  <c r="AG98" i="1"/>
  <c r="AG97" i="1"/>
  <c r="AG96" i="1"/>
  <c r="AG95" i="1"/>
  <c r="AG60" i="1"/>
  <c r="AG59" i="1"/>
  <c r="AG47" i="1"/>
  <c r="AG46" i="1"/>
  <c r="AG34" i="1"/>
  <c r="AG33" i="1"/>
  <c r="AG32" i="1"/>
  <c r="AG31" i="1"/>
  <c r="AG30" i="1"/>
  <c r="AG27" i="1"/>
  <c r="AG26" i="1"/>
  <c r="AG25" i="1"/>
  <c r="AG3" i="1"/>
  <c r="AA224" i="1" l="1"/>
  <c r="AA194" i="1"/>
  <c r="AA195" i="1"/>
  <c r="Y196" i="1" l="1"/>
  <c r="AE196" i="1" s="1"/>
  <c r="Y224" i="1"/>
  <c r="AE224" i="1" s="1"/>
  <c r="AE195" i="1"/>
  <c r="AB195" i="1"/>
  <c r="AB224" i="1"/>
  <c r="AE194" i="1"/>
  <c r="AB194" i="1"/>
  <c r="AG195" i="1"/>
  <c r="AG194" i="1"/>
  <c r="AC194" i="1"/>
  <c r="AD194" i="1" s="1"/>
  <c r="AA174" i="1" l="1"/>
  <c r="AA173" i="1"/>
  <c r="Y155" i="1" l="1"/>
  <c r="AE155" i="1" s="1"/>
  <c r="Y157" i="1"/>
  <c r="AE157" i="1" s="1"/>
  <c r="Y161" i="1"/>
  <c r="AE161" i="1" s="1"/>
  <c r="Y173" i="1"/>
  <c r="AE173" i="1" s="1"/>
  <c r="Y154" i="1"/>
  <c r="AE154" i="1" s="1"/>
  <c r="Y159" i="1"/>
  <c r="AE159" i="1" s="1"/>
  <c r="Y174" i="1"/>
  <c r="AE174" i="1" s="1"/>
  <c r="Y152" i="1"/>
  <c r="AE152" i="1" s="1"/>
  <c r="Y153" i="1"/>
  <c r="AE153" i="1" s="1"/>
  <c r="Y158" i="1"/>
  <c r="AE158" i="1" s="1"/>
  <c r="Y156" i="1"/>
  <c r="AE156" i="1" s="1"/>
  <c r="Y160" i="1"/>
  <c r="AE160" i="1" s="1"/>
  <c r="AB173" i="1"/>
  <c r="AB174" i="1"/>
  <c r="AC158" i="1"/>
  <c r="AD158" i="1" s="1"/>
  <c r="AC157" i="1"/>
  <c r="AD157" i="1" s="1"/>
  <c r="AC152" i="1"/>
  <c r="AD152" i="1" s="1"/>
  <c r="AC154" i="1"/>
  <c r="AD154" i="1" s="1"/>
  <c r="AC161" i="1"/>
  <c r="AD161" i="1" s="1"/>
  <c r="AC159" i="1"/>
  <c r="AD159" i="1" s="1"/>
  <c r="AC160" i="1"/>
  <c r="AD160" i="1" s="1"/>
  <c r="AC153" i="1"/>
  <c r="AD153" i="1" s="1"/>
  <c r="AA83" i="1"/>
  <c r="AA64" i="1"/>
  <c r="AA63" i="1"/>
  <c r="AA62" i="1"/>
  <c r="AA61" i="1"/>
  <c r="Y11" i="1" l="1"/>
  <c r="AE11" i="1" s="1"/>
  <c r="Y47" i="1"/>
  <c r="AE47" i="1" s="1"/>
  <c r="Y48" i="1"/>
  <c r="Y83" i="1"/>
  <c r="AE83" i="1" s="1"/>
  <c r="Y12" i="1"/>
  <c r="AE12" i="1" s="1"/>
  <c r="Y61" i="1"/>
  <c r="AE61" i="1" s="1"/>
  <c r="Y62" i="1"/>
  <c r="AE62" i="1" s="1"/>
  <c r="Y64" i="1"/>
  <c r="AE64" i="1" s="1"/>
  <c r="Y4" i="1"/>
  <c r="AE4" i="1" s="1"/>
  <c r="Y49" i="1"/>
  <c r="Y5" i="1"/>
  <c r="AE5" i="1" s="1"/>
  <c r="Y50" i="1"/>
  <c r="Y10" i="1"/>
  <c r="AE10" i="1" s="1"/>
  <c r="Y37" i="1"/>
  <c r="AE37" i="1" s="1"/>
  <c r="Y40" i="1"/>
  <c r="AE40" i="1" s="1"/>
  <c r="Y42" i="1"/>
  <c r="AE42" i="1" s="1"/>
  <c r="Y46" i="1"/>
  <c r="AE46" i="1" s="1"/>
  <c r="Y112" i="1"/>
  <c r="Y38" i="1"/>
  <c r="AE38" i="1" s="1"/>
  <c r="Y7" i="1"/>
  <c r="AE7" i="1" s="1"/>
  <c r="Y52" i="1"/>
  <c r="Y92" i="1"/>
  <c r="AE92" i="1" s="1"/>
  <c r="Y51" i="1"/>
  <c r="Y8" i="1"/>
  <c r="AE8" i="1" s="1"/>
  <c r="Y53" i="1"/>
  <c r="Y63" i="1"/>
  <c r="AE63" i="1" s="1"/>
  <c r="Y93" i="1"/>
  <c r="AE93" i="1" s="1"/>
  <c r="Y125" i="1"/>
  <c r="AE125" i="1" s="1"/>
  <c r="Y142" i="1"/>
  <c r="AE142" i="1" s="1"/>
  <c r="Y36" i="1"/>
  <c r="AE36" i="1" s="1"/>
  <c r="Y39" i="1"/>
  <c r="AE39" i="1" s="1"/>
  <c r="Y41" i="1"/>
  <c r="AE41" i="1" s="1"/>
  <c r="Y43" i="1"/>
  <c r="AE43" i="1" s="1"/>
  <c r="Y141" i="1"/>
  <c r="AE141" i="1" s="1"/>
  <c r="Y6" i="1"/>
  <c r="AE6" i="1" s="1"/>
  <c r="Y9" i="1"/>
  <c r="AE9" i="1" s="1"/>
  <c r="Y131" i="1"/>
  <c r="AE131" i="1" s="1"/>
  <c r="AB61" i="1"/>
  <c r="AB62" i="1"/>
  <c r="AB64" i="1"/>
  <c r="AB63" i="1"/>
  <c r="AB83" i="1"/>
  <c r="Y14" i="1"/>
  <c r="AE14" i="1" s="1"/>
  <c r="Y13" i="1"/>
  <c r="AE13" i="1" s="1"/>
  <c r="Y18" i="1"/>
  <c r="AE18" i="1" s="1"/>
  <c r="Y17" i="1"/>
  <c r="AE17" i="1" s="1"/>
  <c r="Y16" i="1"/>
  <c r="AE16" i="1" s="1"/>
  <c r="Y15" i="1"/>
  <c r="AE15" i="1" s="1"/>
  <c r="Y96" i="1" l="1"/>
  <c r="AE96" i="1" s="1"/>
  <c r="Y98" i="1"/>
  <c r="AE98" i="1" s="1"/>
  <c r="Y26" i="1"/>
  <c r="Y97" i="1"/>
  <c r="AE97" i="1" s="1"/>
  <c r="Y172" i="1"/>
  <c r="AE172" i="1" s="1"/>
  <c r="Y167" i="1"/>
  <c r="AE167" i="1" s="1"/>
  <c r="Y99" i="1"/>
  <c r="AE99" i="1" s="1"/>
  <c r="Y171" i="1"/>
  <c r="AE171" i="1" s="1"/>
  <c r="Y168" i="1"/>
  <c r="AE168" i="1" s="1"/>
  <c r="Y25" i="1"/>
  <c r="Y169" i="1"/>
  <c r="AE169" i="1" s="1"/>
  <c r="Y215" i="1"/>
  <c r="Y170" i="1"/>
  <c r="AE170" i="1" s="1"/>
  <c r="Y23" i="1" l="1"/>
  <c r="AE23" i="1" s="1"/>
  <c r="Y20" i="1"/>
  <c r="AE20" i="1" s="1"/>
  <c r="Y21" i="1"/>
  <c r="AE21" i="1" s="1"/>
  <c r="Y22" i="1"/>
  <c r="AE22" i="1" s="1"/>
  <c r="Y24" i="1"/>
  <c r="AE24" i="1" s="1"/>
  <c r="Y55" i="1"/>
  <c r="AA29" i="1" l="1"/>
  <c r="Y28" i="1"/>
  <c r="AA28" i="1"/>
  <c r="Y82" i="1" l="1"/>
  <c r="AF28" i="1"/>
  <c r="Y29" i="1"/>
  <c r="AE29" i="1" s="1"/>
  <c r="AB29" i="1"/>
  <c r="AE28" i="1"/>
  <c r="AB28" i="1"/>
  <c r="AG28" i="1"/>
  <c r="AC28" i="1"/>
  <c r="AD28" i="1" s="1"/>
  <c r="AC29" i="1"/>
  <c r="AD29" i="1" s="1"/>
  <c r="AA58" i="1" l="1"/>
  <c r="AA57" i="1"/>
  <c r="AA56" i="1"/>
  <c r="AE56" i="1" l="1"/>
  <c r="AB56" i="1"/>
  <c r="AE57" i="1"/>
  <c r="AB57" i="1"/>
  <c r="AE58" i="1"/>
  <c r="AB58" i="1"/>
  <c r="AC213" i="1"/>
  <c r="AD213" i="1" s="1"/>
  <c r="AC212" i="1"/>
  <c r="AD212" i="1" s="1"/>
  <c r="AC193" i="1"/>
  <c r="AD193" i="1" s="1"/>
  <c r="AC192" i="1"/>
  <c r="AD192" i="1" s="1"/>
  <c r="AC191" i="1"/>
  <c r="AD191" i="1" s="1"/>
  <c r="AC60" i="1"/>
  <c r="AD60" i="1" s="1"/>
  <c r="AC56" i="1" l="1"/>
  <c r="AD56" i="1" s="1"/>
  <c r="AC58" i="1"/>
  <c r="AD58" i="1" s="1"/>
  <c r="AC57" i="1"/>
  <c r="AD57" i="1" s="1"/>
  <c r="AC219" i="1"/>
  <c r="AD219" i="1" s="1"/>
  <c r="AC221" i="1"/>
  <c r="AD221" i="1" s="1"/>
  <c r="AC220" i="1"/>
  <c r="AD220" i="1" s="1"/>
  <c r="AC222" i="1"/>
  <c r="AD222" i="1" s="1"/>
  <c r="AA219" i="1"/>
  <c r="AA221" i="1"/>
  <c r="AA220" i="1"/>
  <c r="AA222" i="1"/>
  <c r="AA213" i="1"/>
  <c r="AA212" i="1"/>
  <c r="AA205" i="1"/>
  <c r="AA204" i="1"/>
  <c r="AC208" i="1"/>
  <c r="AD208" i="1" s="1"/>
  <c r="AC207" i="1"/>
  <c r="AD207" i="1" s="1"/>
  <c r="AC205" i="1"/>
  <c r="AD205" i="1" s="1"/>
  <c r="AC204" i="1"/>
  <c r="AD204" i="1" s="1"/>
  <c r="AA206" i="1"/>
  <c r="AA203" i="1"/>
  <c r="AC206" i="1"/>
  <c r="AD206" i="1" s="1"/>
  <c r="AC203" i="1"/>
  <c r="AD203" i="1" s="1"/>
  <c r="AA198" i="1"/>
  <c r="AC199" i="1"/>
  <c r="AD199" i="1" s="1"/>
  <c r="AC198" i="1"/>
  <c r="AD198" i="1" s="1"/>
  <c r="AA193" i="1"/>
  <c r="AA191" i="1"/>
  <c r="AA192" i="1"/>
  <c r="AA177" i="1"/>
  <c r="AA176" i="1"/>
  <c r="AA175" i="1"/>
  <c r="AC177" i="1"/>
  <c r="AD177" i="1" s="1"/>
  <c r="AC176" i="1"/>
  <c r="AD176" i="1" s="1"/>
  <c r="AC175" i="1"/>
  <c r="AD175" i="1" s="1"/>
  <c r="AA166" i="1"/>
  <c r="AA165" i="1"/>
  <c r="AA164" i="1"/>
  <c r="AA163" i="1"/>
  <c r="AA162" i="1"/>
  <c r="AC166" i="1"/>
  <c r="AD166" i="1" s="1"/>
  <c r="AC165" i="1"/>
  <c r="AD165" i="1" s="1"/>
  <c r="AC164" i="1"/>
  <c r="AD164" i="1" s="1"/>
  <c r="AC163" i="1"/>
  <c r="AD163" i="1" s="1"/>
  <c r="AC162" i="1"/>
  <c r="AD162" i="1" s="1"/>
  <c r="AE198" i="1" l="1"/>
  <c r="AB198" i="1"/>
  <c r="AE192" i="1"/>
  <c r="AB192" i="1"/>
  <c r="AE177" i="1"/>
  <c r="AB177" i="1"/>
  <c r="AE191" i="1"/>
  <c r="AB191" i="1"/>
  <c r="AE162" i="1"/>
  <c r="AB162" i="1"/>
  <c r="AE193" i="1"/>
  <c r="AB193" i="1"/>
  <c r="AE199" i="1"/>
  <c r="AB199" i="1"/>
  <c r="AE203" i="1"/>
  <c r="AB203" i="1"/>
  <c r="AE163" i="1"/>
  <c r="AB163" i="1"/>
  <c r="AE222" i="1"/>
  <c r="AB222" i="1"/>
  <c r="AE164" i="1"/>
  <c r="AB164" i="1"/>
  <c r="AE206" i="1"/>
  <c r="AB206" i="1"/>
  <c r="AE204" i="1"/>
  <c r="AB204" i="1"/>
  <c r="AE220" i="1"/>
  <c r="AB220" i="1"/>
  <c r="AE165" i="1"/>
  <c r="AB165" i="1"/>
  <c r="AE175" i="1"/>
  <c r="AB175" i="1"/>
  <c r="AE205" i="1"/>
  <c r="AB205" i="1"/>
  <c r="AE212" i="1"/>
  <c r="AB212" i="1"/>
  <c r="AE221" i="1"/>
  <c r="AB221" i="1"/>
  <c r="AE166" i="1"/>
  <c r="AB166" i="1"/>
  <c r="AE176" i="1"/>
  <c r="AB176" i="1"/>
  <c r="AE213" i="1"/>
  <c r="AB213" i="1"/>
  <c r="AE219" i="1"/>
  <c r="AB219" i="1"/>
  <c r="AA127" i="1"/>
  <c r="AA126" i="1"/>
  <c r="AC127" i="1"/>
  <c r="AD127" i="1" s="1"/>
  <c r="AC126" i="1"/>
  <c r="AD126" i="1" s="1"/>
  <c r="AA119" i="1"/>
  <c r="AA118" i="1"/>
  <c r="AA116" i="1"/>
  <c r="AA115" i="1"/>
  <c r="AA114" i="1"/>
  <c r="AA113" i="1"/>
  <c r="AC119" i="1"/>
  <c r="AD119" i="1" s="1"/>
  <c r="AC118" i="1"/>
  <c r="AD118" i="1" s="1"/>
  <c r="AC116" i="1"/>
  <c r="AD116" i="1" s="1"/>
  <c r="AC115" i="1"/>
  <c r="AD115" i="1" s="1"/>
  <c r="AC114" i="1"/>
  <c r="AD114" i="1" s="1"/>
  <c r="AC113" i="1"/>
  <c r="AD113" i="1" s="1"/>
  <c r="AE115" i="1" l="1"/>
  <c r="AB115" i="1"/>
  <c r="AE114" i="1"/>
  <c r="AB114" i="1"/>
  <c r="AE118" i="1"/>
  <c r="AB118" i="1"/>
  <c r="AE119" i="1"/>
  <c r="AB119" i="1"/>
  <c r="AE126" i="1"/>
  <c r="AB126" i="1"/>
  <c r="AE116" i="1"/>
  <c r="AB116" i="1"/>
  <c r="AE127" i="1"/>
  <c r="AB127" i="1"/>
  <c r="AE113" i="1"/>
  <c r="AB113" i="1"/>
  <c r="AA106" i="1"/>
  <c r="AA105" i="1"/>
  <c r="AA104" i="1"/>
  <c r="AC106" i="1"/>
  <c r="AD106" i="1" s="1"/>
  <c r="AC105" i="1"/>
  <c r="AD105" i="1" s="1"/>
  <c r="AC104" i="1"/>
  <c r="AD104" i="1" s="1"/>
  <c r="AA103" i="1"/>
  <c r="AA102" i="1"/>
  <c r="AC103" i="1"/>
  <c r="AD103" i="1" s="1"/>
  <c r="AC102" i="1"/>
  <c r="AD102" i="1" s="1"/>
  <c r="AE106" i="1" l="1"/>
  <c r="AB106" i="1"/>
  <c r="AE102" i="1"/>
  <c r="AB102" i="1"/>
  <c r="AE103" i="1"/>
  <c r="AB103" i="1"/>
  <c r="AE104" i="1"/>
  <c r="AB104" i="1"/>
  <c r="AE105" i="1"/>
  <c r="AB105" i="1"/>
  <c r="AC97" i="1"/>
  <c r="AD97" i="1" s="1"/>
  <c r="AC98" i="1"/>
  <c r="AD98" i="1" s="1"/>
  <c r="AC99" i="1"/>
  <c r="AD99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A82" i="1"/>
  <c r="AA81" i="1"/>
  <c r="AA60" i="1"/>
  <c r="AA59" i="1"/>
  <c r="AC59" i="1"/>
  <c r="AD59" i="1" s="1"/>
  <c r="AA53" i="1"/>
  <c r="AA52" i="1"/>
  <c r="AA51" i="1"/>
  <c r="AA50" i="1"/>
  <c r="AA49" i="1"/>
  <c r="AA48" i="1"/>
  <c r="AE49" i="1" l="1"/>
  <c r="AB49" i="1"/>
  <c r="AE48" i="1"/>
  <c r="AB48" i="1"/>
  <c r="AE50" i="1"/>
  <c r="AB50" i="1"/>
  <c r="AE51" i="1"/>
  <c r="AB51" i="1"/>
  <c r="AE52" i="1"/>
  <c r="AB52" i="1"/>
  <c r="AB81" i="1"/>
  <c r="AE53" i="1"/>
  <c r="AB53" i="1"/>
  <c r="AE82" i="1"/>
  <c r="AB82" i="1"/>
  <c r="AE60" i="1"/>
  <c r="AB60" i="1"/>
  <c r="AE59" i="1"/>
  <c r="AB59" i="1"/>
  <c r="AA34" i="1"/>
  <c r="AA33" i="1"/>
  <c r="AA32" i="1"/>
  <c r="AA31" i="1"/>
  <c r="AA30" i="1"/>
  <c r="AC27" i="1"/>
  <c r="AD27" i="1" s="1"/>
  <c r="AA27" i="1"/>
  <c r="AE27" i="1" l="1"/>
  <c r="AB27" i="1"/>
  <c r="AE31" i="1"/>
  <c r="AB31" i="1"/>
  <c r="AE30" i="1"/>
  <c r="AB30" i="1"/>
  <c r="AE32" i="1"/>
  <c r="AB32" i="1"/>
  <c r="AE33" i="1"/>
  <c r="AB33" i="1"/>
  <c r="AE3" i="1"/>
  <c r="AB3" i="1"/>
  <c r="AE2" i="1"/>
  <c r="AB2" i="1"/>
  <c r="AE34" i="1"/>
  <c r="AB34" i="1"/>
  <c r="AC3" i="1" l="1"/>
  <c r="AD3" i="1" s="1"/>
  <c r="AC2" i="1"/>
  <c r="AD2" i="1" s="1"/>
  <c r="AC224" i="1" l="1"/>
  <c r="AD224" i="1" s="1"/>
  <c r="AC31" i="1" l="1"/>
  <c r="AD31" i="1" s="1"/>
  <c r="AC34" i="1"/>
  <c r="AD34" i="1" s="1"/>
  <c r="AC33" i="1"/>
  <c r="AD33" i="1" s="1"/>
  <c r="AC32" i="1"/>
  <c r="AD32" i="1" s="1"/>
  <c r="AC30" i="1"/>
  <c r="AD30" i="1" s="1"/>
  <c r="AC185" i="1" l="1"/>
  <c r="AD185" i="1" s="1"/>
  <c r="AC80" i="1" l="1"/>
  <c r="AD80" i="1" s="1"/>
  <c r="AC83" i="1"/>
  <c r="AD83" i="1" s="1"/>
  <c r="AC90" i="1"/>
  <c r="AD90" i="1" s="1"/>
  <c r="AC91" i="1"/>
  <c r="AD91" i="1" s="1"/>
  <c r="AA45" i="1" l="1"/>
  <c r="Y54" i="1"/>
  <c r="AA54" i="1"/>
  <c r="AF55" i="1" l="1"/>
  <c r="Y45" i="1"/>
  <c r="AE45" i="1" s="1"/>
  <c r="AF54" i="1"/>
  <c r="AE55" i="1"/>
  <c r="AB55" i="1"/>
  <c r="AE54" i="1"/>
  <c r="AB54" i="1"/>
  <c r="AB45" i="1"/>
  <c r="AG55" i="1"/>
  <c r="AG54" i="1"/>
  <c r="AC54" i="1"/>
  <c r="AD54" i="1" s="1"/>
  <c r="AC45" i="1"/>
  <c r="AD45" i="1" s="1"/>
  <c r="AC55" i="1"/>
  <c r="AD55" i="1" s="1"/>
  <c r="AG228" i="1" l="1"/>
  <c r="AG226" i="1"/>
  <c r="AG227" i="1"/>
  <c r="AG225" i="1"/>
  <c r="AF209" i="1" l="1"/>
  <c r="AF210" i="1"/>
  <c r="AG210" i="1"/>
  <c r="AG209" i="1"/>
  <c r="AA91" i="1" l="1"/>
  <c r="AE91" i="1" l="1"/>
  <c r="AB91" i="1"/>
  <c r="AC196" i="1"/>
  <c r="AD196" i="1" s="1"/>
  <c r="AA179" i="1" l="1"/>
  <c r="AE179" i="1" l="1"/>
  <c r="AB179" i="1"/>
  <c r="AC179" i="1"/>
  <c r="AD179" i="1" s="1"/>
  <c r="AA112" i="1"/>
  <c r="AE112" i="1" l="1"/>
  <c r="AB112" i="1"/>
  <c r="AC112" i="1"/>
  <c r="AD112" i="1" s="1"/>
  <c r="AA227" i="1" l="1"/>
  <c r="AA226" i="1"/>
  <c r="AA225" i="1"/>
  <c r="AA228" i="1"/>
  <c r="AE226" i="1" l="1"/>
  <c r="AB226" i="1"/>
  <c r="AE227" i="1"/>
  <c r="AB227" i="1"/>
  <c r="AE228" i="1"/>
  <c r="AB228" i="1"/>
  <c r="AE225" i="1"/>
  <c r="AB225" i="1"/>
  <c r="AC227" i="1"/>
  <c r="AD227" i="1" s="1"/>
  <c r="AC228" i="1"/>
  <c r="AD228" i="1" s="1"/>
  <c r="AC226" i="1"/>
  <c r="AD226" i="1" s="1"/>
  <c r="AC225" i="1"/>
  <c r="AD225" i="1" s="1"/>
  <c r="AA215" i="1" l="1"/>
  <c r="AA214" i="1"/>
  <c r="Y214" i="1" l="1"/>
  <c r="AE214" i="1" s="1"/>
  <c r="AE215" i="1"/>
  <c r="AB215" i="1"/>
  <c r="AB214" i="1"/>
  <c r="AC214" i="1"/>
  <c r="AD214" i="1" s="1"/>
  <c r="AC215" i="1"/>
  <c r="AD215" i="1" s="1"/>
  <c r="AA25" i="1" l="1"/>
  <c r="AA26" i="1"/>
  <c r="Y143" i="1"/>
  <c r="AE143" i="1" s="1"/>
  <c r="Y223" i="1"/>
  <c r="AE223" i="1" l="1"/>
  <c r="Y182" i="1"/>
  <c r="AE182" i="1" s="1"/>
  <c r="AF143" i="1"/>
  <c r="Y197" i="1"/>
  <c r="AE197" i="1" s="1"/>
  <c r="Y19" i="1"/>
  <c r="AE19" i="1" s="1"/>
  <c r="Y202" i="1"/>
  <c r="AE202" i="1" s="1"/>
  <c r="Y81" i="1"/>
  <c r="AE81" i="1" s="1"/>
  <c r="Y95" i="1"/>
  <c r="AE95" i="1" s="1"/>
  <c r="AE26" i="1"/>
  <c r="AB26" i="1"/>
  <c r="AE25" i="1"/>
  <c r="AB25" i="1"/>
  <c r="AG143" i="1"/>
  <c r="AC143" i="1"/>
  <c r="AD143" i="1" s="1"/>
  <c r="AC111" i="1"/>
  <c r="AD111" i="1" s="1"/>
  <c r="AC174" i="1"/>
  <c r="AD174" i="1" s="1"/>
  <c r="AC101" i="1"/>
  <c r="AD101" i="1" s="1"/>
  <c r="AC50" i="1"/>
  <c r="AD50" i="1" s="1"/>
  <c r="AD35" i="1"/>
  <c r="AC25" i="1"/>
  <c r="AD25" i="1" s="1"/>
  <c r="AC18" i="1"/>
  <c r="AD18" i="1" s="1"/>
  <c r="AC6" i="1"/>
  <c r="AD6" i="1" s="1"/>
  <c r="AC218" i="1"/>
  <c r="AD218" i="1" s="1"/>
  <c r="AC125" i="1"/>
  <c r="AD125" i="1" s="1"/>
  <c r="AC95" i="1"/>
  <c r="AD95" i="1" s="1"/>
  <c r="AC47" i="1"/>
  <c r="AD47" i="1" s="1"/>
  <c r="AC7" i="1"/>
  <c r="AD7" i="1" s="1"/>
  <c r="AC141" i="1"/>
  <c r="AD141" i="1" s="1"/>
  <c r="AC64" i="1"/>
  <c r="AD64" i="1" s="1"/>
  <c r="AC62" i="1"/>
  <c r="AD62" i="1" s="1"/>
  <c r="AC17" i="1"/>
  <c r="AD17" i="1" s="1"/>
  <c r="AC5" i="1"/>
  <c r="AD5" i="1" s="1"/>
  <c r="AC22" i="1"/>
  <c r="AD22" i="1" s="1"/>
  <c r="AC223" i="1"/>
  <c r="AD223" i="1" s="1"/>
  <c r="AC202" i="1"/>
  <c r="AD202" i="1" s="1"/>
  <c r="AC210" i="1"/>
  <c r="AD210" i="1" s="1"/>
  <c r="AC195" i="1"/>
  <c r="AD195" i="1" s="1"/>
  <c r="AC170" i="1"/>
  <c r="AD170" i="1" s="1"/>
  <c r="AC110" i="1"/>
  <c r="AD110" i="1" s="1"/>
  <c r="AC96" i="1"/>
  <c r="AD96" i="1" s="1"/>
  <c r="AC51" i="1"/>
  <c r="AD51" i="1" s="1"/>
  <c r="AC26" i="1"/>
  <c r="AD26" i="1" s="1"/>
  <c r="AC16" i="1"/>
  <c r="AD16" i="1" s="1"/>
  <c r="AC12" i="1"/>
  <c r="AD12" i="1" s="1"/>
  <c r="AC4" i="1"/>
  <c r="AD4" i="1" s="1"/>
  <c r="AC21" i="1"/>
  <c r="AD21" i="1" s="1"/>
  <c r="AC211" i="1"/>
  <c r="AD211" i="1" s="1"/>
  <c r="AC182" i="1"/>
  <c r="AD182" i="1" s="1"/>
  <c r="AC169" i="1"/>
  <c r="AD169" i="1" s="1"/>
  <c r="AC142" i="1"/>
  <c r="AD142" i="1" s="1"/>
  <c r="AC81" i="1"/>
  <c r="AD81" i="1" s="1"/>
  <c r="AC15" i="1"/>
  <c r="AD15" i="1" s="1"/>
  <c r="AC11" i="1"/>
  <c r="AD11" i="1" s="1"/>
  <c r="AC24" i="1"/>
  <c r="AD24" i="1" s="1"/>
  <c r="AC20" i="1"/>
  <c r="AD20" i="1" s="1"/>
  <c r="AC155" i="1"/>
  <c r="AD155" i="1" s="1"/>
  <c r="AC217" i="1"/>
  <c r="AD217" i="1" s="1"/>
  <c r="AC168" i="1"/>
  <c r="AD168" i="1" s="1"/>
  <c r="AC131" i="1"/>
  <c r="AD131" i="1" s="1"/>
  <c r="AC92" i="1"/>
  <c r="AD92" i="1" s="1"/>
  <c r="AC52" i="1"/>
  <c r="AD52" i="1" s="1"/>
  <c r="AC48" i="1"/>
  <c r="AD48" i="1" s="1"/>
  <c r="AC46" i="1"/>
  <c r="AD46" i="1" s="1"/>
  <c r="AC43" i="1"/>
  <c r="AD43" i="1" s="1"/>
  <c r="AC42" i="1"/>
  <c r="AD42" i="1" s="1"/>
  <c r="AC41" i="1"/>
  <c r="AD41" i="1" s="1"/>
  <c r="AC40" i="1"/>
  <c r="AD40" i="1" s="1"/>
  <c r="AC39" i="1"/>
  <c r="AD39" i="1" s="1"/>
  <c r="AC38" i="1"/>
  <c r="AD38" i="1" s="1"/>
  <c r="AC37" i="1"/>
  <c r="AD37" i="1" s="1"/>
  <c r="AC36" i="1"/>
  <c r="AD36" i="1" s="1"/>
  <c r="AC14" i="1"/>
  <c r="AD14" i="1" s="1"/>
  <c r="AC10" i="1"/>
  <c r="AD10" i="1" s="1"/>
  <c r="AC23" i="1"/>
  <c r="AD23" i="1" s="1"/>
  <c r="AC156" i="1"/>
  <c r="AD156" i="1" s="1"/>
  <c r="AC173" i="1"/>
  <c r="AD173" i="1" s="1"/>
  <c r="AC167" i="1"/>
  <c r="AD167" i="1" s="1"/>
  <c r="AC171" i="1"/>
  <c r="AD171" i="1" s="1"/>
  <c r="AC82" i="1"/>
  <c r="AD82" i="1" s="1"/>
  <c r="AC63" i="1"/>
  <c r="AD63" i="1" s="1"/>
  <c r="AC61" i="1"/>
  <c r="AD61" i="1" s="1"/>
  <c r="AC13" i="1"/>
  <c r="AD13" i="1" s="1"/>
  <c r="AC9" i="1"/>
  <c r="AD9" i="1" s="1"/>
  <c r="AC19" i="1"/>
  <c r="AD19" i="1" s="1"/>
  <c r="AC209" i="1"/>
  <c r="AD209" i="1" s="1"/>
  <c r="AC197" i="1"/>
  <c r="AD197" i="1" s="1"/>
  <c r="AC172" i="1"/>
  <c r="AD172" i="1" s="1"/>
  <c r="AC100" i="1"/>
  <c r="AD100" i="1" s="1"/>
  <c r="AC93" i="1"/>
  <c r="AD93" i="1" s="1"/>
  <c r="AC53" i="1"/>
  <c r="AD53" i="1" s="1"/>
  <c r="AC49" i="1"/>
  <c r="AD49" i="1" s="1"/>
  <c r="AC8" i="1"/>
  <c r="AD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5" authorId="0" shapeId="0" xr:uid="{00000000-0006-0000-0000-000001000000}">
      <text>
        <r>
          <rPr>
            <sz val="11"/>
            <color rgb="FF000000"/>
            <rFont val="Calibri"/>
            <family val="2"/>
          </rPr>
          <t>Check These. Especially Last column with 2 hours. Think you switched the same/paraphrase data around
	-Abigail Csik</t>
        </r>
      </text>
    </comment>
    <comment ref="H110" authorId="0" shapeId="0" xr:uid="{00000000-0006-0000-0000-000002000000}">
      <text>
        <r>
          <rPr>
            <sz val="11"/>
            <color rgb="FF000000"/>
            <rFont val="Calibri"/>
            <family val="2"/>
          </rPr>
          <t>Maybe?
	-Abigail Csik</t>
        </r>
      </text>
    </comment>
    <comment ref="H111" authorId="0" shapeId="0" xr:uid="{00000000-0006-0000-0000-000003000000}">
      <text>
        <r>
          <rPr>
            <sz val="11"/>
            <color rgb="FF000000"/>
            <rFont val="Calibri"/>
            <family val="2"/>
          </rPr>
          <t>Maybe?
	-Abigail Csik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1" authorId="0" shapeId="0" xr:uid="{00000000-0006-0000-0100-000001000000}">
      <text>
        <r>
          <rPr>
            <sz val="11"/>
            <color rgb="FF000000"/>
            <rFont val="Calibri"/>
            <family val="2"/>
          </rPr>
          <t>Check These. Especially Last column with 2 hours. Think you switched the same/paraphrase data around
	-Abigail Csik</t>
        </r>
      </text>
    </comment>
    <comment ref="F221" authorId="0" shapeId="0" xr:uid="{00000000-0006-0000-0100-000002000000}">
      <text>
        <r>
          <rPr>
            <sz val="11"/>
            <color rgb="FF000000"/>
            <rFont val="Calibri"/>
            <family val="2"/>
          </rPr>
          <t>Maybe?
	-Abigail Csik</t>
        </r>
      </text>
    </comment>
    <comment ref="F223" authorId="0" shapeId="0" xr:uid="{00000000-0006-0000-0100-000003000000}">
      <text>
        <r>
          <rPr>
            <sz val="11"/>
            <color rgb="FF000000"/>
            <rFont val="Calibri"/>
            <family val="2"/>
          </rPr>
          <t>Maybe?
	-Abigail Csik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7" authorId="0" shapeId="0" xr:uid="{00000000-0006-0000-0300-000001000000}">
      <text>
        <r>
          <rPr>
            <sz val="11"/>
            <color rgb="FF000000"/>
            <rFont val="Calibri"/>
            <family val="2"/>
          </rPr>
          <t>Check These. Especially Last column with 2 hours. Think you switched the same/paraphrase data around
	-Abigail Csik</t>
        </r>
      </text>
    </comment>
  </commentList>
</comments>
</file>

<file path=xl/sharedStrings.xml><?xml version="1.0" encoding="utf-8"?>
<sst xmlns="http://schemas.openxmlformats.org/spreadsheetml/2006/main" count="4462" uniqueCount="544">
  <si>
    <t>APA citation</t>
  </si>
  <si>
    <t>Source</t>
  </si>
  <si>
    <t>Year</t>
  </si>
  <si>
    <t>Memory test</t>
  </si>
  <si>
    <t>Measure</t>
  </si>
  <si>
    <t>Distractor</t>
  </si>
  <si>
    <t>Sample Size</t>
  </si>
  <si>
    <t>Memoranda</t>
  </si>
  <si>
    <t>Additional info</t>
  </si>
  <si>
    <t>Averell, L., &amp; Heathcote, A. (2009). Long term implicit and explicit memory for briefly studied words. In A. Taatgen, &amp; H. van Rijn (Eds.), Proceedings of the 31st annual conference of the cognitive science society (pp. 267–281). Austin, TX: Cognitive Science Society.</t>
  </si>
  <si>
    <t xml:space="preserve">Proceedings of the Annual Meeting of the Cognitive Science Society </t>
  </si>
  <si>
    <t>% correct</t>
  </si>
  <si>
    <t>words</t>
  </si>
  <si>
    <t>Figure 5</t>
  </si>
  <si>
    <t>28 days</t>
  </si>
  <si>
    <t>JEP</t>
  </si>
  <si>
    <t>% Recalled</t>
  </si>
  <si>
    <t>Table 1</t>
  </si>
  <si>
    <t>counting backwards</t>
  </si>
  <si>
    <t>18 seconds</t>
  </si>
  <si>
    <t>Table 3</t>
  </si>
  <si>
    <t>Peterson, L. R., &amp; Peterson, M. J. (1959). Short-term retention of individual verbal items. Journal of Experimental Psychology, 58(3), 193-198.</t>
  </si>
  <si>
    <t>Figure 3</t>
  </si>
  <si>
    <t>Recognition</t>
  </si>
  <si>
    <t>Table 2</t>
  </si>
  <si>
    <t>Figure 2</t>
  </si>
  <si>
    <t>Figure 4</t>
  </si>
  <si>
    <t>Figure 8</t>
  </si>
  <si>
    <t>JEPLMC</t>
  </si>
  <si>
    <t>32 seconds</t>
  </si>
  <si>
    <t>QJEP</t>
  </si>
  <si>
    <t>% recalled</t>
  </si>
  <si>
    <t>Figure 1</t>
  </si>
  <si>
    <t>25 seconds</t>
  </si>
  <si>
    <t>30 seconds</t>
  </si>
  <si>
    <t>arithmetic</t>
  </si>
  <si>
    <t>Neuropsychologia</t>
  </si>
  <si>
    <t>Psych Sci</t>
  </si>
  <si>
    <t>40 seconds</t>
  </si>
  <si>
    <t>4.8 minutes</t>
  </si>
  <si>
    <t>JVLVB</t>
  </si>
  <si>
    <t>90 minutes</t>
  </si>
  <si>
    <t>count backwards</t>
  </si>
  <si>
    <t>Stories</t>
  </si>
  <si>
    <t>10 minutes</t>
  </si>
  <si>
    <t>Cued Recall</t>
  </si>
  <si>
    <t>62.8 Minutes</t>
  </si>
  <si>
    <t>Figure 10</t>
  </si>
  <si>
    <t>Memory</t>
  </si>
  <si>
    <t>math</t>
  </si>
  <si>
    <t>M&amp;C</t>
  </si>
  <si>
    <t>2 hours</t>
  </si>
  <si>
    <t>24 hours</t>
  </si>
  <si>
    <t>Howarth, E., &amp; Eysenck, H. J. (1969). Extraversion, Arousal, and Paired-Associate REcall. Journal of Experimental Research in Personality, 3, 114-116.</t>
  </si>
  <si>
    <t>J of Exp Res in Personality</t>
  </si>
  <si>
    <t>word game</t>
  </si>
  <si>
    <t>AJP</t>
  </si>
  <si>
    <t>8 hours</t>
  </si>
  <si>
    <t>Archives of Psychology</t>
  </si>
  <si>
    <t>Savings</t>
  </si>
  <si>
    <t>2 days</t>
  </si>
  <si>
    <t>word-digit pairs</t>
  </si>
  <si>
    <t>Chan, J. C. K. (2010). Long-term effects of testing on the recall of nontested materials. Memory, 18(1), 49-57.</t>
  </si>
  <si>
    <t>Concepts</t>
  </si>
  <si>
    <t>7 days</t>
  </si>
  <si>
    <t>Finkenbinder, E. O. (1913). The curve of forgetting. The American Journal of Psychology, 24(1), 8-32.</t>
  </si>
  <si>
    <t>savings</t>
  </si>
  <si>
    <t>3 days</t>
  </si>
  <si>
    <t xml:space="preserve">Fioravanti, M., &amp; Di Cesare, F. (1992). Forgetting curves in long-term memory: Evidence for a multistage model of retention. Brain and Cognition, 18, 116-124.
</t>
  </si>
  <si>
    <t>B&amp;C</t>
  </si>
  <si>
    <t>next task in procedure</t>
  </si>
  <si>
    <t>JML</t>
  </si>
  <si>
    <t xml:space="preserve">Graves, E. A. (1936). The effect of sleep upon retention. Journal of Experimental Psychology, 19(3), 316-322.
</t>
  </si>
  <si>
    <t>6 days</t>
  </si>
  <si>
    <t xml:space="preserve">Kleinsmith, L. J., &amp; Kaplan, S. (1963). Paired-associate learning as a function of arousal and interpolated interval. Journal of Experimental Psychology, 65(2), 190-193.
</t>
  </si>
  <si>
    <t>Luh, C. W. (1922). The conditions of retention. Psychological Monographs, 31(3).</t>
  </si>
  <si>
    <t>Psych Mono</t>
  </si>
  <si>
    <t>Matching</t>
  </si>
  <si>
    <t>Strong, E. K., (1913). The effect of time-interval upon recognition memory. The Psychological Review, 20(5), 339-372.</t>
  </si>
  <si>
    <t>Psych Review</t>
  </si>
  <si>
    <t xml:space="preserve">Walker, E. L., &amp; Tarte, R. D. (1963). Memory storage as a function of arousal and time with homogeneous and heterogeneous lists. Journal of Verbal Learning and Verbal Behavior, 2, 113-119.
</t>
  </si>
  <si>
    <t>Book</t>
  </si>
  <si>
    <t>4 weeks</t>
  </si>
  <si>
    <t>Burtt, H., &amp; Dobell, E. (1925). The Curve of Forgetting for Advertising Material. Journal of Applied Psychology, 9, 5.</t>
  </si>
  <si>
    <t>J of Applied Psych</t>
  </si>
  <si>
    <t xml:space="preserve">Carpenter, S. K., Pashler, H., Wixted, J. T., &amp; Vul, E. (2008). The effects of tests on learning and forgetting. Memory and Cognition, 36(2), 438-448.
</t>
  </si>
  <si>
    <t>42 days</t>
  </si>
  <si>
    <t>Ebbinghaus, H. (1885/1913). Memory: A contribution to experimental psychology (H. A. Ruger &amp; C. E. Bussenius, Trans.). New York: Columbia University, Teacher’s College. (Reprinted 1964, New York: Dover).</t>
  </si>
  <si>
    <t>4.429 weeks</t>
  </si>
  <si>
    <t>1 week</t>
  </si>
  <si>
    <t xml:space="preserve">Kristo, G., Janssen, S. M., &amp; Murre, J. M. (2009). Retention of autobiographical memories: An Internet-based diary study. Memory, 17(8), 816-829.
</t>
  </si>
  <si>
    <t>6.571 weeks</t>
  </si>
  <si>
    <t>Krueger, W., &amp; Bentley, Madison. (1929). The effect of overlearning on retention. Journal of Experimental Psychology, 12(1), 71-78.</t>
  </si>
  <si>
    <t>BRM</t>
  </si>
  <si>
    <t>7 weeks</t>
  </si>
  <si>
    <t>Radvansky, G., O’Rear, A., &amp; Fisher, A. (2017). Event models and the fan effect. Memory &amp; Cognition, 45(6), 1028-1044.</t>
  </si>
  <si>
    <t>2 Weeks</t>
  </si>
  <si>
    <t xml:space="preserve">Runquist, W. N. (1983). Some effects of remembering on forgetting. Memory and Cognition, 11(6), 641-650.
</t>
  </si>
  <si>
    <t>math problems</t>
  </si>
  <si>
    <t>3 weeks</t>
  </si>
  <si>
    <t xml:space="preserve">Staats, A.W., Minke, K. A., &amp; Stalling, R. B. (1970). Long-term Retention of Conditioned Attitudes (No. TR-6). Hawaii University Honolulu, Department of Psychology.
</t>
  </si>
  <si>
    <t>ERIC</t>
  </si>
  <si>
    <t>Tunney, &amp; Bezzina. (2007). Effects of retention intervals on receiver operating characteristics in artificial grammar learning. Acta Psychologica, 125(1), 37-50.</t>
  </si>
  <si>
    <t>Acta Psych</t>
  </si>
  <si>
    <t>2 weeks</t>
  </si>
  <si>
    <t>12 Weeks</t>
  </si>
  <si>
    <t>Free Recall</t>
  </si>
  <si>
    <t xml:space="preserve">Gehring, R. E., Toglia, M. P., &amp; Kimble, G. A. (1976). Recognition memory for words and pictures at short and long retention intervals. Memory &amp; Cognition, 4(3), 256-260.
</t>
  </si>
  <si>
    <t>3 months</t>
  </si>
  <si>
    <t xml:space="preserve">Glasnapp, D. R., Poggio, J. P. and Ory, J. C. (1978). End-of-Course and Long-Term Retention Outcomes for Mastery and Nonmastery Learning Paradigms. Psychology in the Schools, 15(4), 595-603.
</t>
  </si>
  <si>
    <t>Psych in the Schools</t>
  </si>
  <si>
    <t>Multiple Choice</t>
  </si>
  <si>
    <t>16 months</t>
  </si>
  <si>
    <t xml:space="preserve">Lavach, J. F. (1971). The effects of emotional arousal on short vs. long term retention of continuously presented information. Final report. Williamsburg, VA: College of William and Mary.
</t>
  </si>
  <si>
    <t>1 month</t>
  </si>
  <si>
    <t>2.5 months</t>
  </si>
  <si>
    <t xml:space="preserve">Meeter, M., Murre, J. M., &amp; Janssen, S. M. (2005). Remembering the news: Modeling retention data from a study with 14,000 participants. Memory &amp; Cognition, 33(5), 793-810.
</t>
  </si>
  <si>
    <t xml:space="preserve">M&amp;C </t>
  </si>
  <si>
    <t>12 months</t>
  </si>
  <si>
    <t>Radosavljevich, P. R. (1907). Das Behalten und Vergessen bei Kindern und Erwachsenen nach experimentellen Untersuchungen:(Das Fortschreiten des Vergessens mit der Zeit) (Vol. 1). O. Nemnich.</t>
  </si>
  <si>
    <t>Nemnich</t>
  </si>
  <si>
    <t>Weaver III, C. A., &amp; Krug, K. S. (2004). Consolidation-like effects in flashbulb memories: Evidence from September 11, 2001. American Journal of Psychology, 517-530.</t>
  </si>
  <si>
    <t xml:space="preserve">Bahrick, H. P., Bahrick, P. O., &amp; Wittlinger, R. P. (1975). Fifty years of memory for names and faces: A cross-sectional approach. Journal of Experimental Psychology: General, 104(1), 54-75.
</t>
  </si>
  <si>
    <t>JEP:G</t>
  </si>
  <si>
    <t>Names</t>
  </si>
  <si>
    <t>48 years</t>
  </si>
  <si>
    <t xml:space="preserve">Bahrick, H. P. (1983). The cognitive map of a city: Fifty years of learning and memory. Psychology of Learning and Motivation, 17, 125-163.
</t>
  </si>
  <si>
    <t>PL&amp;M</t>
  </si>
  <si>
    <t>46 years</t>
  </si>
  <si>
    <t xml:space="preserve">Bahrick, H. P. (1984). Semantic memory content in permastore: Fifty years of memory for Spanish learned in school. Journal of Experimental Psychology: General, 113(1), 1-29.
</t>
  </si>
  <si>
    <t>50 years</t>
  </si>
  <si>
    <t xml:space="preserve">Bahrick, H. P., Hall, L. K., &amp; Da Costa, L. A. (2008). Fifty years of memory of college grades: Accuracy and distortions. Emotion, 8(1), 13-22.
</t>
  </si>
  <si>
    <t>Emotion</t>
  </si>
  <si>
    <t xml:space="preserve">Conway, M. A., Cohen, G., &amp; Stanhope, N. (1991). On the very long-term retention of knowledge acquired through formal education: Twelve years of cognitive psychology. Journal of Experimental Psychology: General, 120(4), 395-409.
</t>
  </si>
  <si>
    <t xml:space="preserve">Ellis, J. A., Semb, G. B., &amp; Cole, B. (1998). Very long-term memory for information taught in school. Contemporary Educational Psychology, 23(4), 419-433.
</t>
  </si>
  <si>
    <t>Contemporary Ed Psych</t>
  </si>
  <si>
    <t>Figure 1-A</t>
  </si>
  <si>
    <t>16 years</t>
  </si>
  <si>
    <t xml:space="preserve">Squire, L. R. (1989). On the course of forgetting in very long-term memory. Journal of Experimental Psychology: Learning, Memory, and Cognition, 15(2), 241-245.
</t>
  </si>
  <si>
    <t>JEP LMC</t>
  </si>
  <si>
    <t>15 years</t>
  </si>
  <si>
    <t xml:space="preserve">Wagenaar, W. A. (1986). My memory: A study of autobiographical memory over six years. Cognitive Psychology, 18(2), 225-252.
</t>
  </si>
  <si>
    <t>Cog Psy</t>
  </si>
  <si>
    <t>Table 4</t>
  </si>
  <si>
    <t>% recall</t>
  </si>
  <si>
    <t>47.25 years</t>
  </si>
  <si>
    <t>Figure 9</t>
  </si>
  <si>
    <t>% saved</t>
  </si>
  <si>
    <t>% retention</t>
  </si>
  <si>
    <t>Design</t>
  </si>
  <si>
    <t>Section 28, I-VII</t>
  </si>
  <si>
    <r>
      <t xml:space="preserve">Bregman, A. S. (1968). Forgetting curves with semantic, phonetic, graphic, and contiguity cues. </t>
    </r>
    <r>
      <rPr>
        <i/>
        <sz val="10"/>
        <rFont val="Calibri Light"/>
        <family val="2"/>
        <scheme val="major"/>
      </rPr>
      <t>Journal of Experimental Psychology, 78</t>
    </r>
    <r>
      <rPr>
        <sz val="10"/>
        <rFont val="Calibri Light"/>
        <family val="2"/>
        <scheme val="major"/>
      </rPr>
      <t>, 539-546.</t>
    </r>
  </si>
  <si>
    <r>
      <t xml:space="preserve">Isaac, C. L., &amp; Mayes, A. R. (1999).Rate of Forgetting in Amnesia: </t>
    </r>
    <r>
      <rPr>
        <i/>
        <sz val="10"/>
        <rFont val="Calibri Light"/>
        <family val="2"/>
        <scheme val="major"/>
      </rPr>
      <t>I. Recall and recognition of prose</t>
    </r>
    <r>
      <rPr>
        <sz val="10"/>
        <rFont val="Calibri Light"/>
        <family val="2"/>
        <scheme val="major"/>
      </rPr>
      <t>. </t>
    </r>
    <r>
      <rPr>
        <i/>
        <sz val="10"/>
        <rFont val="Calibri Light"/>
        <family val="2"/>
        <scheme val="major"/>
      </rPr>
      <t>Journal of Experimental Psychology: Learning, Memory and Cognition,</t>
    </r>
    <r>
      <rPr>
        <sz val="10"/>
        <rFont val="Calibri Light"/>
        <family val="2"/>
        <scheme val="major"/>
      </rPr>
      <t> </t>
    </r>
    <r>
      <rPr>
        <i/>
        <sz val="10"/>
        <rFont val="Calibri Light"/>
        <family val="2"/>
        <scheme val="major"/>
      </rPr>
      <t>25</t>
    </r>
    <r>
      <rPr>
        <sz val="10"/>
        <rFont val="Calibri Light"/>
        <family val="2"/>
        <scheme val="major"/>
      </rPr>
      <t>(4), 942.</t>
    </r>
  </si>
  <si>
    <r>
      <t xml:space="preserve">Jenkins, J. G., &amp; Dallenbach, K. M. (1924). Minor studies from the psychological laboratory of Cornell university: Obliviance during sleep and waking. </t>
    </r>
    <r>
      <rPr>
        <i/>
        <sz val="10"/>
        <rFont val="Calibri Light"/>
        <family val="2"/>
        <scheme val="major"/>
      </rPr>
      <t>American Journal of Psychology, 35</t>
    </r>
    <r>
      <rPr>
        <sz val="10"/>
        <rFont val="Calibri Light"/>
        <family val="2"/>
        <scheme val="major"/>
      </rPr>
      <t>, 605-612.</t>
    </r>
  </si>
  <si>
    <r>
      <t xml:space="preserve">McBride, D. M., &amp; Dosher, B. A. (1997). A comparison of forgetting in an implicit and explicit memory task. </t>
    </r>
    <r>
      <rPr>
        <i/>
        <sz val="10"/>
        <rFont val="Calibri Light"/>
        <family val="2"/>
        <scheme val="major"/>
      </rPr>
      <t>Journal of Experimental Psychology: General, 126</t>
    </r>
    <r>
      <rPr>
        <sz val="10"/>
        <rFont val="Calibri Light"/>
        <family val="2"/>
        <scheme val="major"/>
      </rPr>
      <t>(4), 371.</t>
    </r>
  </si>
  <si>
    <r>
      <t xml:space="preserve">Murdock, B. B. (1961). The retention of individual items. </t>
    </r>
    <r>
      <rPr>
        <i/>
        <sz val="10"/>
        <rFont val="Calibri Light"/>
        <family val="2"/>
        <scheme val="major"/>
      </rPr>
      <t>Journal of Experimental Psychology, 62</t>
    </r>
    <r>
      <rPr>
        <sz val="10"/>
        <rFont val="Calibri Light"/>
        <family val="2"/>
        <scheme val="major"/>
      </rPr>
      <t>(6), 618-625.</t>
    </r>
  </si>
  <si>
    <r>
      <t xml:space="preserve">Nelson, T. O., Shimamura, A. P., &amp; Leonesio, R J. (1980). Large effects on long-term retention after standard list learning vs. adjusted learning. </t>
    </r>
    <r>
      <rPr>
        <i/>
        <sz val="10"/>
        <rFont val="Calibri Light"/>
        <family val="2"/>
        <scheme val="major"/>
      </rPr>
      <t>Behavior Research Methods &amp; Instrumentation, 12</t>
    </r>
    <r>
      <rPr>
        <sz val="10"/>
        <rFont val="Calibri Light"/>
        <family val="2"/>
        <scheme val="major"/>
      </rPr>
      <t>(1), 42-44.</t>
    </r>
  </si>
  <si>
    <r>
      <t xml:space="preserve">Rubin, D. C., Hinton, S., &amp; Wenzel, A. (1999). The precise time course of retention. </t>
    </r>
    <r>
      <rPr>
        <i/>
        <sz val="10"/>
        <rFont val="Calibri Light"/>
        <family val="2"/>
        <scheme val="major"/>
      </rPr>
      <t>Journal of Experimental Psychology: Learning, Memory, and Cognition, 25</t>
    </r>
    <r>
      <rPr>
        <sz val="10"/>
        <rFont val="Calibri Light"/>
        <family val="2"/>
        <scheme val="major"/>
      </rPr>
      <t>(5), 1161-176.</t>
    </r>
  </si>
  <si>
    <r>
      <t xml:space="preserve">Turvey, M. T. &amp; Weeks, R. A. (1979). Effects of proactive interference and rehearsal on the primary and secondary components of short-term retention. </t>
    </r>
    <r>
      <rPr>
        <i/>
        <sz val="10"/>
        <rFont val="Calibri Light"/>
        <family val="2"/>
        <scheme val="major"/>
      </rPr>
      <t>Quarterly Journal of Experimental Psychology, 27</t>
    </r>
    <r>
      <rPr>
        <sz val="10"/>
        <rFont val="Calibri Light"/>
        <family val="2"/>
        <scheme val="major"/>
      </rPr>
      <t>(1), 47-62.</t>
    </r>
  </si>
  <si>
    <r>
      <t xml:space="preserve">Van Ormer, E. B. (1932). Sleep and Retention. </t>
    </r>
    <r>
      <rPr>
        <i/>
        <sz val="10"/>
        <rFont val="Calibri Light"/>
        <family val="2"/>
        <scheme val="major"/>
      </rPr>
      <t>Archives of Psychology, 137,</t>
    </r>
    <r>
      <rPr>
        <sz val="10"/>
        <rFont val="Calibri Light"/>
        <family val="2"/>
        <scheme val="major"/>
      </rPr>
      <t> 49.</t>
    </r>
  </si>
  <si>
    <r>
      <t xml:space="preserve">White, K. G. (2012). Dissociation of short-term forgetting from the passage of time. </t>
    </r>
    <r>
      <rPr>
        <i/>
        <sz val="10"/>
        <rFont val="Calibri Light"/>
        <family val="2"/>
        <scheme val="major"/>
      </rPr>
      <t>Journal of Experimental Psychology: Learning, Memory, and Cognition, 38</t>
    </r>
    <r>
      <rPr>
        <sz val="10"/>
        <rFont val="Calibri Light"/>
        <family val="2"/>
        <scheme val="major"/>
      </rPr>
      <t>(1), 255-259.</t>
    </r>
  </si>
  <si>
    <r>
      <t xml:space="preserve">Wixted, J. T., &amp; Ebbesen, E. B. (1991). On the form of forgetting. </t>
    </r>
    <r>
      <rPr>
        <i/>
        <sz val="10"/>
        <rFont val="Calibri Light"/>
        <family val="2"/>
        <scheme val="major"/>
      </rPr>
      <t>Psychological Science</t>
    </r>
    <r>
      <rPr>
        <sz val="10"/>
        <rFont val="Calibri Light"/>
        <family val="2"/>
        <scheme val="major"/>
      </rPr>
      <t xml:space="preserve">, </t>
    </r>
    <r>
      <rPr>
        <i/>
        <sz val="10"/>
        <rFont val="Calibri Light"/>
        <family val="2"/>
        <scheme val="major"/>
      </rPr>
      <t>2</t>
    </r>
    <r>
      <rPr>
        <sz val="10"/>
        <rFont val="Calibri Light"/>
        <family val="2"/>
        <scheme val="major"/>
      </rPr>
      <t>(6), 409-415.</t>
    </r>
  </si>
  <si>
    <r>
      <t xml:space="preserve">Begg, I. &amp; Wickelgren, W. A. (1974). Retention functions for syntactic and lexical vs semantic information in sentence recognition memory. </t>
    </r>
    <r>
      <rPr>
        <i/>
        <sz val="10"/>
        <color theme="1"/>
        <rFont val="Calibri Light"/>
        <family val="2"/>
        <scheme val="major"/>
      </rPr>
      <t>Memory &amp; Cognition, 2</t>
    </r>
    <r>
      <rPr>
        <sz val="10"/>
        <color theme="1"/>
        <rFont val="Calibri Light"/>
        <family val="2"/>
        <scheme val="major"/>
      </rPr>
      <t>(2), 353-359.</t>
    </r>
  </si>
  <si>
    <t>between</t>
  </si>
  <si>
    <t>Unpublished</t>
  </si>
  <si>
    <t xml:space="preserve">Thompson, C. P., Skowronski, J. J., Larsen, S. F., &amp; Beltz, A. L. (1996). Autobiographical Memory: Remembering what and remembering when. New Jersey: Lawrence Erlbaum Associates, Inc. </t>
  </si>
  <si>
    <t>900 days</t>
  </si>
  <si>
    <t>30 days</t>
  </si>
  <si>
    <t>Table 9</t>
  </si>
  <si>
    <t>8 weeks</t>
  </si>
  <si>
    <t>Archives of Psych</t>
  </si>
  <si>
    <r>
      <t xml:space="preserve">Jones, H. E. (1923). Experimental studies of college teaching: The effect of examination on the permanance of forgetting. </t>
    </r>
    <r>
      <rPr>
        <i/>
        <sz val="10"/>
        <color rgb="FF000000"/>
        <rFont val="Calibri Light"/>
        <family val="2"/>
        <scheme val="major"/>
      </rPr>
      <t>Archives of Psychology, 68</t>
    </r>
    <r>
      <rPr>
        <sz val="10"/>
        <color rgb="FF000000"/>
        <rFont val="Calibri Light"/>
        <family val="2"/>
        <scheme val="major"/>
      </rPr>
      <t>.</t>
    </r>
  </si>
  <si>
    <t>Mure, J. M. J., &amp; Dross, J. (2015). Replication and analysis of Ebinghaus' Forgetting curve. PLoS ONE, 10(7). 1-23.</t>
  </si>
  <si>
    <t>PLOS</t>
  </si>
  <si>
    <t>syllables</t>
  </si>
  <si>
    <t>31 days</t>
  </si>
  <si>
    <t>Psych mono</t>
  </si>
  <si>
    <t>reading the narratives</t>
  </si>
  <si>
    <r>
      <t>Fisher, J. S., &amp; Radvansky, G. A. (2018). Patterns of forgetting. </t>
    </r>
    <r>
      <rPr>
        <i/>
        <sz val="10"/>
        <rFont val="Calibri Light"/>
        <family val="2"/>
        <scheme val="major"/>
      </rPr>
      <t>Journal of Memory and Language</t>
    </r>
    <r>
      <rPr>
        <sz val="10"/>
        <rFont val="Calibri Light"/>
        <family val="2"/>
        <scheme val="major"/>
      </rPr>
      <t>, </t>
    </r>
    <r>
      <rPr>
        <i/>
        <sz val="10"/>
        <rFont val="Calibri Light"/>
        <family val="2"/>
        <scheme val="major"/>
      </rPr>
      <t>102</t>
    </r>
    <r>
      <rPr>
        <sz val="10"/>
        <rFont val="Calibri Light"/>
        <family val="2"/>
        <scheme val="major"/>
      </rPr>
      <t>, 130-141.</t>
    </r>
  </si>
  <si>
    <t>Memory Data</t>
  </si>
  <si>
    <t>read magazines</t>
  </si>
  <si>
    <t>1 hr</t>
  </si>
  <si>
    <t>%recalled</t>
  </si>
  <si>
    <r>
      <t xml:space="preserve">Youtz, A. C. (1941). An experimental evaluation of Jost's laws. </t>
    </r>
    <r>
      <rPr>
        <i/>
        <sz val="10"/>
        <rFont val="Calibri Light"/>
        <family val="2"/>
        <scheme val="major"/>
      </rPr>
      <t xml:space="preserve">The psychological monographs, 238, </t>
    </r>
    <r>
      <rPr>
        <sz val="10"/>
        <rFont val="Calibri Light"/>
        <family val="2"/>
        <scheme val="major"/>
      </rPr>
      <t>1-54.</t>
    </r>
  </si>
  <si>
    <t>Date Updated</t>
  </si>
  <si>
    <t>ACP</t>
  </si>
  <si>
    <t>pictures</t>
  </si>
  <si>
    <t>free forms</t>
  </si>
  <si>
    <t>19 yrs</t>
  </si>
  <si>
    <t>5 years</t>
  </si>
  <si>
    <t>word pairs</t>
  </si>
  <si>
    <r>
      <t xml:space="preserve">Burt, C. D. B. (1992). Retrieval characteristics of autobiographical memories: event and date informatino. </t>
    </r>
    <r>
      <rPr>
        <i/>
        <sz val="10"/>
        <rFont val="Calibri Light"/>
        <family val="2"/>
        <scheme val="major"/>
      </rPr>
      <t>Applied Cognitive Psychology, 6</t>
    </r>
    <r>
      <rPr>
        <sz val="10"/>
        <rFont val="Calibri Light"/>
        <family val="2"/>
        <scheme val="major"/>
      </rPr>
      <t>, 389-404.</t>
    </r>
  </si>
  <si>
    <r>
      <t xml:space="preserve">Catal, L. L. &amp; Fitzgerald, J. M. (2004). Autobiographical memories in two older adults over a twenty-year retention interval. </t>
    </r>
    <r>
      <rPr>
        <i/>
        <sz val="10"/>
        <rFont val="Calibri Light"/>
        <family val="2"/>
        <scheme val="major"/>
      </rPr>
      <t>Memory &amp; Cognition, 32</t>
    </r>
    <r>
      <rPr>
        <sz val="10"/>
        <rFont val="Calibri Light"/>
        <family val="2"/>
        <scheme val="major"/>
      </rPr>
      <t>(2), 311-323.</t>
    </r>
  </si>
  <si>
    <t>Phase by Longest RI</t>
  </si>
  <si>
    <t>Avg RI</t>
  </si>
  <si>
    <t>Longest RI</t>
  </si>
  <si>
    <t>40 years</t>
  </si>
  <si>
    <t>controls</t>
  </si>
  <si>
    <t>Barr, W. B., Goldberg, E., Wasserstein, J., &amp; Novelly, R. A. (1990). Retrograde amnesia following unilateral temporal lobectomy. Neuropsychologia, 28(3), 243-255.</t>
  </si>
  <si>
    <t>30 years</t>
  </si>
  <si>
    <t>Beatty, W. W., Salmon, D. P., Bernstein, N., &amp; Butters, N. (1987). Remote memory in a patient with amnesia due to hypoxia. Psychological medicine, 17(3), 657-665.</t>
  </si>
  <si>
    <t>Psychological Medicine</t>
  </si>
  <si>
    <t>faces and events</t>
  </si>
  <si>
    <t>Beatty, W. W., Salmon, D. P., Butters, N., Heindel, W. C., &amp; Granholm, E. L. (1988). Retrograde amnesia in patients with Alzheimer's disease or Huntington's disease. Neurobiology of aging, 9, 181-186.</t>
  </si>
  <si>
    <t>Neurobiology of Aging</t>
  </si>
  <si>
    <t>Cermak, L. S., &amp; O'Connor, M. (1983). The anterograde and retrograde retrieval ability of a patient with amnesia due to encephalitis. Neuropsychologia, 21(3), 213-234.</t>
  </si>
  <si>
    <t>public events</t>
  </si>
  <si>
    <t>Figure 7</t>
  </si>
  <si>
    <t>famous faces</t>
  </si>
  <si>
    <t>Cohen, N. J., &amp; Squire, L. R. (1981). Retrograde amnesia and remote memory impairment. Neuropsychologia, 19(3), 337-356.</t>
  </si>
  <si>
    <t xml:space="preserve"> Neuropsychologia</t>
  </si>
  <si>
    <t>Hunkin, N. M., Parkin, A. J., Bradley, V. A., Burrows, E. H., Aldrich, F. K., Jansari, A., &amp; Burdon-Cooper, C. (1995). Focal retrograde amnesia following closed head injury: A case study and theoretical account. Neuropsychologia, 33(4), 509-523.</t>
  </si>
  <si>
    <t>Kapur, N., Heath, P., Meudell, P., &amp; Kennedy, P. (1986). Amnesia can facilitate memory performance: evidence from a patient with dissociated retrograde amnesia. Neuropsychologia, 24(2), 215-221.</t>
  </si>
  <si>
    <t>famous voices</t>
  </si>
  <si>
    <t>Kapur, N., Young, A., Bateman, D., &amp; Kennedy, P. (1989). Focal retrograde amnesia: a long term clinical and neuropsychological follow-up. Cortex, 25(3), 387-402.</t>
  </si>
  <si>
    <t>Cortex</t>
  </si>
  <si>
    <t>Kopelman, M. D. (1989). Remote and autobiographical memory, temporal context memory and frontal atrophy in Korsakoff and Alzheimer patients. Neuropsychologia, 27(4), 437-460.</t>
  </si>
  <si>
    <t>Markowitsch, H. J., Calabrese, P., Liess, J., Haupts, M., Durwen, H. F., &amp; Gehlen, W. (1993). Retrograde amnesia after traumatic injury of the fronto-temporal cortex. Journal of Neurology, Neurosurgery &amp; Psychiatry, 56(9), 988-992.</t>
  </si>
  <si>
    <t>Journal of Neurology, Neurosurgery &amp; Psychiatry</t>
  </si>
  <si>
    <t>Von Cramon, D. Y., Markowitsch, H. J., &amp; Schuri, U. (1993). The possible contribution of the septal region to memory. Neuropsychologia, 31(11), 1159-1180.</t>
  </si>
  <si>
    <t>Table 6</t>
  </si>
  <si>
    <t>Marslen-Wilson, W. D., &amp; Teuber, H. L. (1975). Memory for remote events in anterograde amnesia: recognition of public figures from newsphotographs. Neuropsychologia, 13(3), 353-364.</t>
  </si>
  <si>
    <t>Table 1A</t>
  </si>
  <si>
    <t>famous names</t>
  </si>
  <si>
    <t>Meudell, P. R., Northen, B., Snowden, J. S., &amp; Neary, D. (1980). Long term memory for famous voices in amnesic and normal subjects. Neuropsychologia, 18(2), 133-139.</t>
  </si>
  <si>
    <t>Parkin, A. J., &amp; Hunkin, N. M. (1991). Memory loss following radiotherapy for nasal pharyngeal carcinoma—an unusual presentation of amnesia. British journal of clinical psychology, 30(4), 349-357.</t>
  </si>
  <si>
    <t>British journal of clinical psychology</t>
  </si>
  <si>
    <t>Parkin, A. J., Montaldi, D., Leng, N. R., &amp; Hunkin, N. M. (1990). Contextual cueing effects in the remote memory of alcoholic Korsakoff patients and normal subjects. Quarterly Journal of Experimental Psychology, 42(3), 585-596.</t>
  </si>
  <si>
    <t>Quarterly Journal of Experimental Psychology</t>
  </si>
  <si>
    <t>45 years</t>
  </si>
  <si>
    <t>55 years</t>
  </si>
  <si>
    <t>television programs</t>
  </si>
  <si>
    <t>18 years</t>
  </si>
  <si>
    <t>Neuropsychology</t>
  </si>
  <si>
    <t>Haist, F., Gore, J. B., &amp; Mao, H. (2001). Consolidation of human memory over decades revealed by functional magnetic resonance imaging. Nature neuroscience, 4(11), 1139-1145.</t>
  </si>
  <si>
    <t>Nature Neuroscience</t>
  </si>
  <si>
    <t>young controls</t>
  </si>
  <si>
    <t>Gade, A., &amp; Mortensen, E. L. (1990). Temporal gradient in the remote memory impairment of amnesic patients with lesions in the basal forebrain. Neuropsychologia, 28(9), 985-1001.</t>
  </si>
  <si>
    <t>Table 5</t>
  </si>
  <si>
    <t>33 years</t>
  </si>
  <si>
    <t>Journal of Neuroscience</t>
  </si>
  <si>
    <t>events and names</t>
  </si>
  <si>
    <t>Sagar, H. J., Cohen, N. J., Sullivan, E. V., Corkin, S., &amp; Growdon, J. H. (1988). Remote memory function in Alzheimer's disease and Parkinson's disease. Brain, 111(1), 185-206.</t>
  </si>
  <si>
    <t>Brain</t>
  </si>
  <si>
    <t>famous scenes</t>
  </si>
  <si>
    <t>Salmon, D. P., Lasker, B. R., Butters, N., &amp; Beatty, W. W. (1988). Remote memory in a patient with circumscribed amnesia. Brain and cognition, 7(2), 201-211.</t>
  </si>
  <si>
    <t>Brain and Cognition</t>
  </si>
  <si>
    <t>Squire, L. R., &amp; Cohen, N. J. (1982). Remote memory, retrograde amnesia, and the neuropsychology of memory. Human memory and amnesia, 275-303.</t>
  </si>
  <si>
    <t>Squire, L. R., Haist, F., &amp; Shimamura, A. P. (1989). The neurology of memory: Quantitative assessment of retrograde amnesia in two groups of amnesic patients. Journal of Neuroscience, 9(3), 828-839.</t>
  </si>
  <si>
    <t>Squire, L. R., Zola-Morgan, S., Cave, C. B., Haist, F., Musen, G., &amp; Suzuki, W. A. (1990, January). Memory: organization of brain systems and cognition. In Cold Spring Harbor symposia on quantitative biology (Vol. 55, pp. 1007-1023). Cold Spring Harbor Laboratory Press.</t>
  </si>
  <si>
    <t>Figure 17.5</t>
  </si>
  <si>
    <t>Stuss, D. T., Guberman, A., Nelson, R., &amp; Larochelle, S. (1988). The neuropsychology of paramedian thalamic infarction. Brain and Cognition, 8(3), 348-378.</t>
  </si>
  <si>
    <t>Tanaka, Y., Miyazawa, Y., Hashimoto, R., Nakano, I., &amp; Obayashi, T. (1999). Postencephalitic focal retrograde amnesia after bilateral anterior temporal lobe damage. Neurology, 53(2), 344-344.</t>
  </si>
  <si>
    <t>Neurology</t>
  </si>
  <si>
    <t>60 years</t>
  </si>
  <si>
    <t>Squire, L. R., &amp; Slater, P. C. (1975). Forgetting in very long-term memory as assessed by an improved questionnaire technique. Journal of Experimental Psychology: Human Learning and Memory, 1(1), 50-54.</t>
  </si>
  <si>
    <t>JEP:HLM</t>
  </si>
  <si>
    <t>adults</t>
  </si>
  <si>
    <t>race horses</t>
  </si>
  <si>
    <t>Albert, M. S., Butters, N., &amp; Brandt, J. (1981). Patterns of remote memory in amnesic and demented patients. Archives of Neurology, 38(8), 495-500.</t>
  </si>
  <si>
    <t>Archives of Neurology</t>
  </si>
  <si>
    <t>43 years</t>
  </si>
  <si>
    <t>Albert, M. S., Butters, N., &amp; Levin, J. (1979). Temporal gradients in the retrograde amnesia of patients with alcoholic Korsakoff's disease. Archives of Neurology, 36(4), 211-216.</t>
  </si>
  <si>
    <t>Butters, N. (1984). Alcoholic Korsakoff's syndrome: An update. Seminars in Neurology, 4(2), 226-244.</t>
  </si>
  <si>
    <t>Seminars in Neurology</t>
  </si>
  <si>
    <t>28 years</t>
  </si>
  <si>
    <t>Talamini, L. M., &amp; Gorree, E. (2012). Aging memories: Differential decay of episodic memory components. Learning &amp; Memory, 19(6), 239-246.</t>
  </si>
  <si>
    <t>Learning &amp; Memory</t>
  </si>
  <si>
    <t>object memory</t>
  </si>
  <si>
    <t>Figures 2-3</t>
  </si>
  <si>
    <t>91 days</t>
  </si>
  <si>
    <t>Figure 14.2</t>
  </si>
  <si>
    <t>Figure 14.5</t>
  </si>
  <si>
    <t>trigrams</t>
  </si>
  <si>
    <t>Figure 17.2</t>
  </si>
  <si>
    <t>Mayes, A. R., Meudell, P. R., Mann, D., &amp; Pickering, A. (1988). Location of lesions in Korsakoff's syndrome: neuropsychological and neuropathological data on two patients. Cortex, 24(3), 367-388.</t>
  </si>
  <si>
    <t>Table V</t>
  </si>
  <si>
    <t>Table VI</t>
  </si>
  <si>
    <t>Table VII</t>
  </si>
  <si>
    <t>Beatty, W. W., Goodkin, D. E., Monson, N., Beatty, P. A., &amp; Hertsgaard, D. (1988). Anterograde and retrograde amnesia in patients with chronic progressive multiple sclerosis. Archives of Neurology, 45(6), 611-619.</t>
  </si>
  <si>
    <t>Huber, S. J., Shuttleworth, E. C., &amp; Paulson, G. W. (1986). Dementia in Parkinson's disease. Archives of Neurology, 43(10), 987-990.</t>
  </si>
  <si>
    <t>Montaldi, D., &amp; Parkin, A. J. (1989). Retrograde amnesia in Korsakoff’s syndrome: An experimental and theoretical analysis. In Developments in clinical and experimental neuropsychology (pp. 213-218). Springer, Boston, MA.</t>
  </si>
  <si>
    <t>Warrington, E. K. (1982). The double dissociation of short- and long-term memory deficits. Cermak, L. S. (Ed.), Human Memory and Amnesia, (pp. 61-76). Erlbaum, Hillsdale, NJ.</t>
  </si>
  <si>
    <t>Figure 4.1a</t>
  </si>
  <si>
    <t>60 seconds</t>
  </si>
  <si>
    <t>Figure 4.2a</t>
  </si>
  <si>
    <t>Butters, N., &amp; Albert, M. S. (1982). Processes underlying failures to recall remote events. In Cermak, L. S. (Ed.), Human Memory and Amnesia, (pp. 257-274). Erlbaum, Hillsdale, NJ.</t>
  </si>
  <si>
    <t>Figure 13.7</t>
  </si>
  <si>
    <t>Fisher, J. S., &amp; Radvansky, G. A. (2019). Linear forgetting. Journal of Memory and Language, 108, 104035.</t>
  </si>
  <si>
    <t>O'Rear,A. E. &amp; Radvansky, G. A. (2020) Diary Study</t>
  </si>
  <si>
    <t>Fisher, J. S. (2020). Dissertation</t>
  </si>
  <si>
    <t>Dissertation</t>
  </si>
  <si>
    <t>sentences</t>
  </si>
  <si>
    <t>14 days</t>
  </si>
  <si>
    <t>control</t>
  </si>
  <si>
    <t>Doolen &amp; Radvansky (2020). Novel 1</t>
  </si>
  <si>
    <t>%correct</t>
  </si>
  <si>
    <t>novels</t>
  </si>
  <si>
    <t>7.5 years</t>
  </si>
  <si>
    <t>Group Size</t>
  </si>
  <si>
    <t>Wilson, R. S., Kaszniak, A. W., &amp; Fox, J. H. (1981). Remote memory in senile dementia. Cortex, 17(1), 41-48.</t>
  </si>
  <si>
    <t>Experimental Psychology</t>
  </si>
  <si>
    <t>Cepeda, N. J., Coburn, N., Rohrer, D., Wixted, J. T., Mozer, M. C., &amp; Pashler, H. (2009). Optimizing distributed practice: Theoretical analysis and practical implications. Experimental Psychology, 56(4), 236-246.</t>
  </si>
  <si>
    <t>English-Swahili pairs</t>
  </si>
  <si>
    <t>Unpublished data</t>
  </si>
  <si>
    <t>6 months</t>
  </si>
  <si>
    <t>Bean, C. H. (1912). The Curve of Forgetting. Press of the New era printing Company.</t>
  </si>
  <si>
    <t>delays based on midpoint of decade</t>
  </si>
  <si>
    <t>Initial delay set to 1 day</t>
  </si>
  <si>
    <t>initial delay  = (4 seconds * 10 items) / 2 to get an average time</t>
  </si>
  <si>
    <t>125 months</t>
  </si>
  <si>
    <t>initial delay 60 s for instructions</t>
  </si>
  <si>
    <t>initial delay = (7 pairs * 3 sec + 18 sec ISI)/2</t>
  </si>
  <si>
    <t>initial delay = 10 minutes for mid lecture time</t>
  </si>
  <si>
    <t>initial delay = (10 pairs * 2 seconds) / 2 + instructions</t>
  </si>
  <si>
    <t>initial delay = (3 lists * 63 items * 5 seconds)/2</t>
  </si>
  <si>
    <t>1 year</t>
  </si>
  <si>
    <t>Avg Change</t>
  </si>
  <si>
    <t>Tables I &amp; II</t>
  </si>
  <si>
    <t>Psychological Science</t>
  </si>
  <si>
    <t>Zhang, W., &amp; Luck, S. J. (2009). Sudden death and gradual decay in visual working memory. Psychological Science, 20(4), 423-428.</t>
  </si>
  <si>
    <t>Figure 3a</t>
  </si>
  <si>
    <t>color</t>
  </si>
  <si>
    <t>shape</t>
  </si>
  <si>
    <t>Figure 3b</t>
  </si>
  <si>
    <t>Shortest RI</t>
  </si>
  <si>
    <t>Range</t>
  </si>
  <si>
    <t>Initial Memory</t>
  </si>
  <si>
    <t>Albert, M. S., Butters, N., &amp; Brandt, J. (1981). Development of remote memory loss in patients with Huntington's disease. Journal of Clinical Neuropsychology, 3(1), 1-12.</t>
  </si>
  <si>
    <t>Journal of Clinical Neuropsychology</t>
  </si>
  <si>
    <t>Obs /person</t>
  </si>
  <si>
    <t xml:space="preserve"> Data Amount</t>
  </si>
  <si>
    <t>Complexity</t>
  </si>
  <si>
    <t>Learning Degree</t>
  </si>
  <si>
    <t>Test Code</t>
  </si>
  <si>
    <t>Studied &gt; 1</t>
  </si>
  <si>
    <t>Distractor Type</t>
  </si>
  <si>
    <t>Mem Code</t>
  </si>
  <si>
    <t>Num RI's</t>
  </si>
  <si>
    <t>Longest RI (paper)</t>
  </si>
  <si>
    <t>Phase by Avg RI</t>
  </si>
  <si>
    <t>Exp.</t>
  </si>
  <si>
    <t>within</t>
  </si>
  <si>
    <t>course material</t>
  </si>
  <si>
    <t>Explicit</t>
  </si>
  <si>
    <t>Implicit</t>
  </si>
  <si>
    <t>Free Recall-Adjusted</t>
  </si>
  <si>
    <t>Name Matching-Adjusted</t>
  </si>
  <si>
    <t>Name Recognition-Adjusted</t>
  </si>
  <si>
    <t>Picture Recognition-Adjusted</t>
  </si>
  <si>
    <t>Picture Matching-Adjusted</t>
  </si>
  <si>
    <t>Picture Cuing-Adjusted</t>
  </si>
  <si>
    <t>names</t>
  </si>
  <si>
    <t>Street names - Recall</t>
  </si>
  <si>
    <t>Street names - Matching</t>
  </si>
  <si>
    <t>Street names - Cued</t>
  </si>
  <si>
    <t>Campus Landmarks - Recall</t>
  </si>
  <si>
    <t>Campus Landmarks - Matching</t>
  </si>
  <si>
    <t>Campus Landmarks - Cued</t>
  </si>
  <si>
    <t>City Landmarks - Recall</t>
  </si>
  <si>
    <t>City Landmarks - Matching</t>
  </si>
  <si>
    <t>City Landmarks - Cued</t>
  </si>
  <si>
    <t>Spanish-English Recognition</t>
  </si>
  <si>
    <t>Spanish-English Recall</t>
  </si>
  <si>
    <t>English - Spanish Recognition</t>
  </si>
  <si>
    <t>English - Spanish Recall</t>
  </si>
  <si>
    <t>Idiom Recall</t>
  </si>
  <si>
    <t>Idiom Recognition</t>
  </si>
  <si>
    <t xml:space="preserve">Figure 3 </t>
  </si>
  <si>
    <t>idioms</t>
  </si>
  <si>
    <t>grades</t>
  </si>
  <si>
    <t>Major</t>
  </si>
  <si>
    <t>NonMajor</t>
  </si>
  <si>
    <t>sleep</t>
  </si>
  <si>
    <t>wake</t>
  </si>
  <si>
    <t>autobiographical</t>
  </si>
  <si>
    <t>letters</t>
  </si>
  <si>
    <t>old controls</t>
  </si>
  <si>
    <t>contiguity; one-cue</t>
  </si>
  <si>
    <t>phonetic; one-cue</t>
  </si>
  <si>
    <t>graphic; one-cue</t>
  </si>
  <si>
    <t>semantic; one-cue</t>
  </si>
  <si>
    <t>contiguity; mixed-cue</t>
  </si>
  <si>
    <t>phonetic; mixed-cue</t>
  </si>
  <si>
    <t>graphic; mixed-cue</t>
  </si>
  <si>
    <t>semantic; mixed-cue</t>
  </si>
  <si>
    <t>Initial</t>
  </si>
  <si>
    <t>Table III</t>
  </si>
  <si>
    <t>Test - Study</t>
  </si>
  <si>
    <t>Study</t>
  </si>
  <si>
    <t>Female</t>
  </si>
  <si>
    <t>Male</t>
  </si>
  <si>
    <t>Testing</t>
  </si>
  <si>
    <t>Control</t>
  </si>
  <si>
    <t>A</t>
  </si>
  <si>
    <t>B or below</t>
  </si>
  <si>
    <t>object pictures</t>
  </si>
  <si>
    <t>stories</t>
  </si>
  <si>
    <t>Rote learning</t>
  </si>
  <si>
    <t>Serial learning</t>
  </si>
  <si>
    <t>Paired learning</t>
  </si>
  <si>
    <t>Visuolinguistic transfer</t>
  </si>
  <si>
    <t>Study-Test</t>
  </si>
  <si>
    <t>Study-Test-Study-Test</t>
  </si>
  <si>
    <t>Study-Study-Study</t>
  </si>
  <si>
    <t>Study-Study</t>
  </si>
  <si>
    <t>scenes</t>
  </si>
  <si>
    <t>Mastery-knowledge</t>
  </si>
  <si>
    <t>Mastery-comprehension</t>
  </si>
  <si>
    <t>Mastery-application</t>
  </si>
  <si>
    <t>Mastery-higher</t>
  </si>
  <si>
    <t>Non-Mastery-knowledge</t>
  </si>
  <si>
    <t>Non-Mastery-comprehension</t>
  </si>
  <si>
    <t>Non-Mastery-application</t>
  </si>
  <si>
    <t>Non-Mastery-higher</t>
  </si>
  <si>
    <t>Wake after Learning</t>
  </si>
  <si>
    <t>Sleep After Learning</t>
  </si>
  <si>
    <t>flashbulb</t>
  </si>
  <si>
    <t>extroverts</t>
  </si>
  <si>
    <t>introverts</t>
  </si>
  <si>
    <t>object</t>
  </si>
  <si>
    <t>III B</t>
  </si>
  <si>
    <t>high arousal</t>
  </si>
  <si>
    <t>low arousal</t>
  </si>
  <si>
    <t>location</t>
  </si>
  <si>
    <t>who with</t>
  </si>
  <si>
    <t>Table 11</t>
  </si>
  <si>
    <t>Table 15</t>
  </si>
  <si>
    <t>semantic</t>
  </si>
  <si>
    <t>graphemic</t>
  </si>
  <si>
    <t>4  AFC</t>
  </si>
  <si>
    <t>Open</t>
  </si>
  <si>
    <t>word triads</t>
  </si>
  <si>
    <t>unpublished</t>
  </si>
  <si>
    <t>page 81</t>
  </si>
  <si>
    <t>page 106</t>
  </si>
  <si>
    <t>visual array</t>
  </si>
  <si>
    <t>characters</t>
  </si>
  <si>
    <t>Figure 1B</t>
  </si>
  <si>
    <t>1 - tested</t>
  </si>
  <si>
    <t>3 - tested</t>
  </si>
  <si>
    <t>1 - not tested</t>
  </si>
  <si>
    <t>3 - not tested</t>
  </si>
  <si>
    <t>positive</t>
  </si>
  <si>
    <t>negative</t>
  </si>
  <si>
    <t>trigram-word pairs</t>
  </si>
  <si>
    <t>Figure 1.1</t>
  </si>
  <si>
    <t>strings</t>
  </si>
  <si>
    <t>0 ITI</t>
  </si>
  <si>
    <t>70 ITI</t>
  </si>
  <si>
    <t>40 ITI</t>
  </si>
  <si>
    <t>Easy</t>
  </si>
  <si>
    <t>Hard</t>
  </si>
  <si>
    <t>Easy to Hard</t>
  </si>
  <si>
    <t>Easy to Hard 8</t>
  </si>
  <si>
    <t>Easy to Hard 16</t>
  </si>
  <si>
    <t>5s study</t>
  </si>
  <si>
    <t>1s study</t>
  </si>
  <si>
    <t>1917-18</t>
  </si>
  <si>
    <t>1923-24 trained</t>
  </si>
  <si>
    <t>1923-24 untrained</t>
  </si>
  <si>
    <t>Learning 1</t>
  </si>
  <si>
    <t>Learning 2</t>
  </si>
  <si>
    <t>Learning 3</t>
  </si>
  <si>
    <t>what</t>
  </si>
  <si>
    <t>who</t>
  </si>
  <si>
    <t>where</t>
  </si>
  <si>
    <t>day of week</t>
  </si>
  <si>
    <t>time of day</t>
  </si>
  <si>
    <t>day of month</t>
  </si>
  <si>
    <t>month</t>
  </si>
  <si>
    <t>important details</t>
  </si>
  <si>
    <t>unimportant details</t>
  </si>
  <si>
    <t>date</t>
  </si>
  <si>
    <t>12 weeks</t>
  </si>
  <si>
    <t>time</t>
  </si>
  <si>
    <t>why</t>
  </si>
  <si>
    <t>MacLeod, C. (1988). Forgotten but Not Gone: Savings for Pictures and Words in Long-Term Memory. Journal of Experimental Psychology: Learning, Memory, and Cognition, 14(2), 195-212.</t>
  </si>
  <si>
    <t>Briggs, G. E. (1954). Acquisition, extinction, and recovery functions in retroactive inhibition. Journal of Experimental Psychology, 47(5), 285-293.</t>
  </si>
  <si>
    <t>R1</t>
  </si>
  <si>
    <t>72 hours</t>
  </si>
  <si>
    <t>R2</t>
  </si>
  <si>
    <t>Koppenaal, R. J. (1963). Time changes in the strengths of A–B, A–C lists; spontaneous recovery?. Journal of Verbal Learning and Verbal Behavior, 2(4), 310-319.</t>
  </si>
  <si>
    <t>Koppenaal (1963)</t>
  </si>
  <si>
    <t>1st list</t>
  </si>
  <si>
    <t>2nd list</t>
  </si>
  <si>
    <t>Mack</t>
  </si>
  <si>
    <t>Seitz</t>
  </si>
  <si>
    <t>Dros</t>
  </si>
  <si>
    <t>initial = 30 seconds to start</t>
  </si>
  <si>
    <t>rehearsing 5  words</t>
  </si>
  <si>
    <t>standard learning</t>
  </si>
  <si>
    <t>Wylie, M. (1926). Recognition of Chinese Symbols. The American Journal of Psychology, 37(2), 224-232.</t>
  </si>
  <si>
    <t>Design code</t>
  </si>
  <si>
    <t>person</t>
  </si>
  <si>
    <t>absolute time</t>
  </si>
  <si>
    <t>relative time</t>
  </si>
  <si>
    <t>how</t>
  </si>
  <si>
    <t>Kopelman, M. D. (1985). Rates of forgetting in Alzheimer-type dementia and Korsakoff's syndrome. Neuropsychologia, 23(5), 623-638.</t>
  </si>
  <si>
    <t>20 seconds</t>
  </si>
  <si>
    <t>initial delay = 30 s for instructions</t>
  </si>
  <si>
    <t>Epilepsia</t>
  </si>
  <si>
    <t>Giovagnoli, A. R., Casazza, M., &amp; Avanzini, G. (1995). Visual learning on a selective reminding procedure and delayed recall in patients with temporal lobe epilepsy. Epilepsia, 36(7), 704-711.</t>
  </si>
  <si>
    <t>13 days</t>
  </si>
  <si>
    <t>Jansari, A. S., Davis, K., McGibbon, T., Firminger, S., &amp; Kapur, N. (2010). When “long-term memory” no longer means “forever”: Analysis of accelerated long-term forgetting in a patient with temporal lobe epilepsy. Neuropsychologia, 48(6), 1707-1715.</t>
  </si>
  <si>
    <t>Kapur, N., Millar, J., Colbourn, C., Abbott, P., Kennedy, P., &amp; Docherty, T. (1997). Very long-term amnesia in association with temporal lobe epilepsy: evidence for multiple-stage consolidation processes. Brain and Cognition, 35(1), 58-70.</t>
  </si>
  <si>
    <t>Kemp, S., Illman, N. A., Moulin, C. J., &amp; Baddeley, A. D. (2012). Accelerated long-term forgetting (ALF) and transient epileptic amnesia (TEA): Two cases of epilepsy‐related memory disorder. Epilepsy &amp; Behavior, 24(3), 382-388.</t>
  </si>
  <si>
    <t> Epilepsy &amp; Behavior</t>
  </si>
  <si>
    <t>Lucchelli, F., &amp; Spinnler, H. (1998). Ephemeral new traces and evaporated remote engrams: A form of neocortical temporal lobe amnesia? A preliminary case report. Neurocase, 4(6), 447-459.</t>
  </si>
  <si>
    <t>Neurocase</t>
  </si>
  <si>
    <t>41 days</t>
  </si>
  <si>
    <t>Martin, R. C., Loring, D. W., Meador, K. J., Lee, G. P., Thrash, N., &amp; Arena, J. G. (1991). Impaired long-term retention despite normal verbal learning in patients with temporal lobe dysfunction. Neuropsychology, 5(1), 3.</t>
  </si>
  <si>
    <t>Muhlert, N., Milton, F., Butler, C. R., Kapur, N., &amp; Zeman, A. Z. (2010). Accelerated forgetting of real-life events in Transient Epileptic Amnesia. Neuropsychologia, 48(11), 3235-3244.</t>
  </si>
  <si>
    <t>O'Connor, M., Sieggreen, M. A., Ahern, G., Schomer, D., &amp; Mesulam, M. (1997). Accelerated forgetting in association with temporal lobe epilepsy and paraneoplastic encephalitis. Brain and Cognition, 35(1), 71-84.</t>
  </si>
  <si>
    <t>Spikman, J. M., Berg, I. J., &amp; Deelman, B. G. (1995). Spared recognition capacity in elderly and closed-head-injury subjects with clinical memory deficits. Journal of clinical and experimental neuropsychology, 17(1), 29-34.</t>
  </si>
  <si>
    <t>J of Clinical and Exp Neuropsychology</t>
  </si>
  <si>
    <t>younger adults</t>
  </si>
  <si>
    <t>27 weeks</t>
  </si>
  <si>
    <t>initial delay = halfway through a 10 minute presentation period on average</t>
  </si>
  <si>
    <t>older adults</t>
  </si>
  <si>
    <t>Tramoni, E., Felician, O., Barbeau, E. J., Guedj, E., Guye, M., Bartolomei, F., &amp; Ceccaldi, M. (2011). Long-term consolidation of declarative memory: insight from temporal lobe epilepsy. Brain, 134(3), 816-831.</t>
  </si>
  <si>
    <t>22 years</t>
  </si>
  <si>
    <t>Frontiers</t>
  </si>
  <si>
    <t>Barclay, C. R., &amp; Wellman, H. M. (1986). Accuracies and inaccuracies in autobiographical memories. Journal of Memory and Language, 25(1), 93-103.</t>
  </si>
  <si>
    <t>Autobiographical Events</t>
  </si>
  <si>
    <t>Linton, M. (1982). Transformations of memory in every life. Memory observed: Remembering in natural contexts.</t>
  </si>
  <si>
    <t>Chapter</t>
  </si>
  <si>
    <t>Figure 8-2</t>
  </si>
  <si>
    <t>6 years</t>
  </si>
  <si>
    <t>structure</t>
  </si>
  <si>
    <t>Loftus, E. F., Miller, D. G., &amp; Burns, H. J. (1978). Semantic integration of verbal information into a visual memory. Journal of experimental psychology: Human learning and memory, 4(1), 19-31.</t>
  </si>
  <si>
    <t>JEP:NLM</t>
  </si>
  <si>
    <t>None - Immediate</t>
  </si>
  <si>
    <t>initial delay = 2 minutes to go through all of the slides from the target and to read the test instrucitons</t>
  </si>
  <si>
    <t>Consisent - Immediate</t>
  </si>
  <si>
    <t>Misleading - Immediate</t>
  </si>
  <si>
    <t>Misleading item</t>
  </si>
  <si>
    <t>None - Delayed</t>
  </si>
  <si>
    <t>Consisent - Delayed</t>
  </si>
  <si>
    <t>Misleading - Delayed</t>
  </si>
  <si>
    <t>LePort, A. K., Stark, S. M., McGaugh, J. L., &amp; Stark, C. E. (2016). Highly superior autobiographical memory: Quality and quantity of retention over time. Frontiers in psychology, 6, 2017.</t>
  </si>
  <si>
    <t>(assuming ten possible details each day)</t>
  </si>
  <si>
    <t>Distractor Task Used</t>
  </si>
  <si>
    <t>Memory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</si>
</sst>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i/>
      <sz val="10"/>
      <color rgb="FF00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2">
    <xf numFmtId="0" fontId="0" fillId="0" borderId="0" xfId="0" applyFont="1" applyAlignment="1"/>
    <xf numFmtId="0" fontId="4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/>
    <xf numFmtId="2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1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left" vertical="center"/>
    </xf>
    <xf numFmtId="9" fontId="4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2" fontId="6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9" fontId="4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2" fontId="4" fillId="0" borderId="0" xfId="0" applyNumberFormat="1" applyFont="1" applyFill="1" applyBorder="1" applyAlignment="1"/>
    <xf numFmtId="0" fontId="3" fillId="2" borderId="0" xfId="0" applyFont="1" applyFill="1" applyBorder="1" applyAlignment="1">
      <alignment horizontal="left"/>
    </xf>
    <xf numFmtId="1" fontId="3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center"/>
    </xf>
    <xf numFmtId="1" fontId="6" fillId="2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/>
    <xf numFmtId="0" fontId="9" fillId="2" borderId="0" xfId="0" applyFont="1" applyFill="1" applyBorder="1" applyAlignment="1">
      <alignment horizontal="left" vertical="center"/>
    </xf>
    <xf numFmtId="0" fontId="4" fillId="0" borderId="0" xfId="0" applyFont="1" applyFill="1" applyAlignment="1"/>
    <xf numFmtId="4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4" fontId="3" fillId="0" borderId="0" xfId="0" applyNumberFormat="1" applyFont="1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2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horizontal="left"/>
    </xf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DN231"/>
  <sheetViews>
    <sheetView tabSelected="1" zoomScale="90" zoomScaleNormal="90" workbookViewId="0">
      <pane ySplit="1" topLeftCell="A2" activePane="bottomLeft" state="frozen"/>
      <selection activeCell="AU1" sqref="AU1"/>
      <selection pane="bottomLeft" activeCell="I5" sqref="I5"/>
    </sheetView>
  </sheetViews>
  <sheetFormatPr defaultColWidth="5.28515625" defaultRowHeight="12" customHeight="1" x14ac:dyDescent="0.25"/>
  <cols>
    <col min="1" max="1" width="13.85546875" style="24" customWidth="1"/>
    <col min="2" max="2" width="21.42578125" style="4" customWidth="1"/>
    <col min="3" max="3" width="13.85546875" style="4" customWidth="1"/>
    <col min="4" max="4" width="12" style="26" customWidth="1"/>
    <col min="5" max="5" width="4.85546875" style="39" customWidth="1"/>
    <col min="6" max="7" width="12" style="26" customWidth="1"/>
    <col min="8" max="8" width="14.85546875" style="26" customWidth="1"/>
    <col min="9" max="9" width="30.5703125" style="26" customWidth="1"/>
    <col min="10" max="10" width="17.28515625" style="26" customWidth="1"/>
    <col min="11" max="11" width="10.7109375" style="26" customWidth="1"/>
    <col min="12" max="12" width="11.28515625" style="26" customWidth="1"/>
    <col min="13" max="13" width="11.42578125" style="26" customWidth="1"/>
    <col min="14" max="14" width="16.28515625" style="26" customWidth="1"/>
    <col min="15" max="15" width="10.28515625" style="26" customWidth="1"/>
    <col min="16" max="16" width="22.7109375" style="26" customWidth="1"/>
    <col min="17" max="17" width="18.28515625" style="26" customWidth="1"/>
    <col min="18" max="18" width="10.140625" style="26" customWidth="1"/>
    <col min="19" max="19" width="11.42578125" style="26" customWidth="1"/>
    <col min="20" max="20" width="7.7109375" style="26" customWidth="1"/>
    <col min="21" max="22" width="12.140625" style="26" customWidth="1"/>
    <col min="23" max="23" width="13.85546875" style="26" customWidth="1"/>
    <col min="24" max="24" width="12" style="26" customWidth="1"/>
    <col min="25" max="25" width="12" style="39" customWidth="1"/>
    <col min="26" max="26" width="18.28515625" style="26" customWidth="1"/>
    <col min="27" max="27" width="12" style="26" customWidth="1"/>
    <col min="28" max="28" width="19.7109375" style="26" customWidth="1"/>
    <col min="29" max="29" width="13.5703125" style="26" customWidth="1"/>
    <col min="30" max="30" width="15.7109375" style="26" customWidth="1"/>
    <col min="31" max="31" width="12" style="26" customWidth="1"/>
    <col min="32" max="32" width="14.85546875" style="42" customWidth="1"/>
    <col min="33" max="33" width="11.7109375" style="20" customWidth="1"/>
    <col min="97" max="117" width="10.42578125" style="4" bestFit="1" customWidth="1"/>
    <col min="118" max="16384" width="5.28515625" style="4"/>
  </cols>
  <sheetData>
    <row r="1" spans="1:118" s="79" customFormat="1" ht="12" customHeight="1" x14ac:dyDescent="0.2">
      <c r="A1" s="71" t="s">
        <v>184</v>
      </c>
      <c r="B1" s="72" t="s">
        <v>0</v>
      </c>
      <c r="C1" s="72" t="s">
        <v>1</v>
      </c>
      <c r="D1" s="73" t="s">
        <v>2</v>
      </c>
      <c r="E1" s="74" t="s">
        <v>341</v>
      </c>
      <c r="F1" s="73" t="s">
        <v>6</v>
      </c>
      <c r="G1" s="73" t="s">
        <v>299</v>
      </c>
      <c r="H1" s="73" t="s">
        <v>1</v>
      </c>
      <c r="I1" s="73" t="s">
        <v>8</v>
      </c>
      <c r="J1" s="73" t="s">
        <v>7</v>
      </c>
      <c r="K1" s="73" t="s">
        <v>337</v>
      </c>
      <c r="L1" s="73" t="s">
        <v>332</v>
      </c>
      <c r="M1" s="73" t="s">
        <v>335</v>
      </c>
      <c r="N1" s="73" t="s">
        <v>333</v>
      </c>
      <c r="O1" s="73" t="s">
        <v>5</v>
      </c>
      <c r="P1" s="73" t="s">
        <v>336</v>
      </c>
      <c r="Q1" s="73" t="s">
        <v>3</v>
      </c>
      <c r="R1" s="73" t="s">
        <v>334</v>
      </c>
      <c r="S1" s="73" t="s">
        <v>4</v>
      </c>
      <c r="T1" s="73" t="s">
        <v>149</v>
      </c>
      <c r="U1" s="73" t="s">
        <v>493</v>
      </c>
      <c r="V1" s="73" t="s">
        <v>330</v>
      </c>
      <c r="W1" s="73" t="s">
        <v>331</v>
      </c>
      <c r="X1" s="73" t="s">
        <v>338</v>
      </c>
      <c r="Y1" s="74" t="s">
        <v>325</v>
      </c>
      <c r="Z1" s="73" t="s">
        <v>339</v>
      </c>
      <c r="AA1" s="73" t="s">
        <v>195</v>
      </c>
      <c r="AB1" s="73" t="s">
        <v>193</v>
      </c>
      <c r="AC1" s="73" t="s">
        <v>194</v>
      </c>
      <c r="AD1" s="73" t="s">
        <v>340</v>
      </c>
      <c r="AE1" s="73" t="s">
        <v>326</v>
      </c>
      <c r="AF1" s="75" t="s">
        <v>327</v>
      </c>
      <c r="AG1" s="76" t="s">
        <v>317</v>
      </c>
    </row>
    <row r="2" spans="1:118" s="3" customFormat="1" ht="12" customHeight="1" x14ac:dyDescent="0.2">
      <c r="A2" s="27">
        <v>43895</v>
      </c>
      <c r="B2" s="5" t="s">
        <v>328</v>
      </c>
      <c r="C2" s="5" t="s">
        <v>329</v>
      </c>
      <c r="D2" s="22">
        <v>1981</v>
      </c>
      <c r="E2" s="38">
        <v>1</v>
      </c>
      <c r="F2" s="23">
        <v>12</v>
      </c>
      <c r="G2" s="23">
        <v>12</v>
      </c>
      <c r="H2" s="23" t="s">
        <v>22</v>
      </c>
      <c r="I2" s="22" t="s">
        <v>197</v>
      </c>
      <c r="J2" s="22" t="s">
        <v>206</v>
      </c>
      <c r="K2" s="23">
        <f t="shared" ref="K2:K45" si="0">IF(J2="syllables",1,IF(J2="trigrams",2,IF(J2="strings",3,IF(J2="visual array",4,IF(J2="characters",5,IF(J2="letters",6,IF(J2="free forms",7,IF(J2="odors",8,IF(J2="words",9,IF(J2="pictures",10,IF(J2="object pictures",11,IF(J2="faces",12,IF(J2="names",13,IF(J2="idioms",14,IF(J2="grades",15,IF(J2="syllable-digit pairs",16,IF(J2="trigram-word pairs",17,IF(J2="word-digit pairs",18,IF(J2="English-Swahili pairs",19,IF(J2="spatial position",20,IF(J2="word pairs",21,IF(J2="word triads",22,IF(J2="generated words",23,IF(J2="word definition pairs",24,IF(J2="math problems",25,IF(J2="famous faces",26,IF(J2="famous names",27,IF(J2="famous voices",28,IF(J2="television programs",29,IF(J2="race horses",30,IF(J2="new vocabulary",31,IF(J2="sentences",32,IF(J2="concepts",33,IF(J2="ad slides",34,IF(J2="scenes",35,IF(J2="famous scenes",36,IF(J2="poems",37,IF(J2="walk",38,IF(J2="faces and events",39,IF(J2="events and names",40,IF(J2="flashbulb",41,IF(J2="stories",42,IF(J2="course material",43,IF(J2="autobiographical",44,IF(J2="novels",45,IF(J2="public events",46,"99"))))))))))))))))))))))))))))))))))))))))))))))</f>
        <v>46</v>
      </c>
      <c r="L2" s="23">
        <f t="shared" ref="L2:L45" si="1">IF(J2="syllables",1,IF(J2="trigrams",1,IF(J2="strings",1,IF(J2="visual array",1,IF(J2="characters",1,IF(J2="letters",1,IF(J2="free forms",1,IF(J2="odors",2,IF(J2="words",2,IF(J2="pictures",2,IF(J2="object pictures",2,IF(J2="faces",2,IF(J2="names",2,IF(J2="idioms","2",IF(J2="grades",2,IF(J2="syllable-digit pairs",3,IF(J2="trigram-word pairs",3,IF(J2="word-digit pairs",3,IF(J2="English-Swahili pairs",3,IF(J2="spatial position",3,IF(J2="word pairs",4,IF(J2="word triads",4,IF(J2="generated words",4,IF(J2="word definition pairs",4,IF(J2="math problems",4,IF(J2="famous faces",4,IF(J2="famous names",4,IF(J2="famous voices",4,IF(J2="television programs",4,IF(J2="race horses",4,IF(J2="new vocabulary",4,IF(J2="sentences",5,IF(J2="concepts",5,IF(J2="ad slides",5,IF(J2="scenes",5,IF(J2="famous scenes",5,IF(J2="poems",6,IF(J2="walk",6,IF(J2="faces and events",6,IF(J2="events and names",6,IF(J2="flashbulb",7,IF(J2="stories",7,IF(J2="course material",7,IF(J2="autobiographical",7,IF(J2="novels",7,IF(J2="public events",7,"99"))))))))))))))))))))))))))))))))))))))))))))))</f>
        <v>7</v>
      </c>
      <c r="M2" s="23">
        <v>1</v>
      </c>
      <c r="N2" s="24">
        <v>4</v>
      </c>
      <c r="O2" s="23">
        <v>0</v>
      </c>
      <c r="P2" s="23"/>
      <c r="Q2" s="22" t="s">
        <v>111</v>
      </c>
      <c r="R2" s="23">
        <f t="shared" ref="R2:R45" si="2">IF(Q2="Free Recall",1,IF(Q2="Cued Recall",2,IF(Q2="Recognition",3,IF(Q2="Multiple Choice",4,IF(Q2="Savings",5,IF(Q2="Stem Completion",6,IF(Q2="Fragment Completion",7,IF(Q2="anagram solution",8,IF(Q2="Matching",9,IF(Q2="Problem Solving",10,"99"))))))))))</f>
        <v>4</v>
      </c>
      <c r="S2" s="23" t="s">
        <v>11</v>
      </c>
      <c r="T2" s="22" t="s">
        <v>342</v>
      </c>
      <c r="U2" s="23">
        <f t="shared" ref="U2:U45" si="3">IF(T2="within",1,0)</f>
        <v>1</v>
      </c>
      <c r="V2" s="22">
        <v>132</v>
      </c>
      <c r="W2" s="23">
        <f t="shared" ref="W2:W45" si="4">F2*V2</f>
        <v>1584</v>
      </c>
      <c r="X2" s="23">
        <v>6</v>
      </c>
      <c r="Y2" s="38">
        <f>Data!I2</f>
        <v>157680000</v>
      </c>
      <c r="Z2" s="23" t="s">
        <v>230</v>
      </c>
      <c r="AA2" s="23">
        <f>60*60*24*365*55</f>
        <v>1734480000</v>
      </c>
      <c r="AB2" s="23" t="str">
        <f t="shared" ref="AB2:AB45" si="5">IF(AA2&lt;60,"1",IF(AA2&lt;=43200,"2",IF(AA2&lt;=777600,"3","4")))</f>
        <v>4</v>
      </c>
      <c r="AC2" s="19">
        <f>AVERAGE(Data!I2:BN2)</f>
        <v>946080000</v>
      </c>
      <c r="AD2" s="23" t="str">
        <f t="shared" ref="AD2:AD45" si="6">IF(AC2&lt;60,"1",IF(AC2&lt;=43200,"2",IF(AC2&lt;=777600,"3","4")))</f>
        <v>4</v>
      </c>
      <c r="AE2" s="38">
        <f t="shared" ref="AE2:AE45" si="7">AA2-Y2</f>
        <v>1576800000</v>
      </c>
      <c r="AF2" s="41">
        <f>Data!I3</f>
        <v>0.75324675324675316</v>
      </c>
      <c r="AG2" s="19">
        <f>((Data!J3-Data!I3)+(Data!K3-Data!J3)+(Data!L3-Data!K3)+(Data!M3-Data!L3)+(Data!N3-Data!M3))/5</f>
        <v>-5.4438711972958354E-3</v>
      </c>
    </row>
    <row r="3" spans="1:118" s="3" customFormat="1" ht="12" customHeight="1" x14ac:dyDescent="0.2">
      <c r="A3" s="27">
        <v>43900</v>
      </c>
      <c r="B3" s="48" t="s">
        <v>262</v>
      </c>
      <c r="C3" s="48" t="s">
        <v>260</v>
      </c>
      <c r="D3" s="46">
        <v>1979</v>
      </c>
      <c r="E3" s="44">
        <v>1</v>
      </c>
      <c r="F3" s="46">
        <v>15</v>
      </c>
      <c r="G3" s="46">
        <v>15</v>
      </c>
      <c r="H3" s="31" t="s">
        <v>32</v>
      </c>
      <c r="I3" s="46" t="s">
        <v>197</v>
      </c>
      <c r="J3" s="46" t="s">
        <v>206</v>
      </c>
      <c r="K3" s="31">
        <f t="shared" si="0"/>
        <v>46</v>
      </c>
      <c r="L3" s="31">
        <f t="shared" si="1"/>
        <v>7</v>
      </c>
      <c r="M3" s="46">
        <v>1</v>
      </c>
      <c r="N3" s="43">
        <v>4</v>
      </c>
      <c r="O3" s="31">
        <v>0</v>
      </c>
      <c r="P3" s="31"/>
      <c r="Q3" s="46" t="s">
        <v>111</v>
      </c>
      <c r="R3" s="31">
        <f t="shared" si="2"/>
        <v>4</v>
      </c>
      <c r="S3" s="31" t="s">
        <v>11</v>
      </c>
      <c r="T3" s="46" t="s">
        <v>342</v>
      </c>
      <c r="U3" s="31">
        <f t="shared" si="3"/>
        <v>1</v>
      </c>
      <c r="V3" s="46">
        <v>132</v>
      </c>
      <c r="W3" s="31">
        <f t="shared" si="4"/>
        <v>1980</v>
      </c>
      <c r="X3" s="31">
        <v>5</v>
      </c>
      <c r="Y3" s="44">
        <f>Data!I4</f>
        <v>157680000</v>
      </c>
      <c r="Z3" s="31" t="s">
        <v>229</v>
      </c>
      <c r="AA3" s="31">
        <f>60*60*24*365*45</f>
        <v>1419120000</v>
      </c>
      <c r="AB3" s="31" t="str">
        <f t="shared" si="5"/>
        <v>4</v>
      </c>
      <c r="AC3" s="34">
        <f>AVERAGE(Data!I4:BN4)</f>
        <v>788400000</v>
      </c>
      <c r="AD3" s="31" t="str">
        <f t="shared" si="6"/>
        <v>4</v>
      </c>
      <c r="AE3" s="44">
        <f t="shared" si="7"/>
        <v>1261440000</v>
      </c>
      <c r="AF3" s="45">
        <f>Data!I5</f>
        <v>0.79661016949152541</v>
      </c>
      <c r="AG3" s="34">
        <f>((Data!J5-Data!I5)+(Data!K5-Data!J5)+(Data!L5-Data!K5)+(Data!M5-Data!L5))/4</f>
        <v>-7.0793716411740315E-3</v>
      </c>
      <c r="DN3" s="4"/>
    </row>
    <row r="4" spans="1:118" s="3" customFormat="1" ht="12" customHeight="1" x14ac:dyDescent="0.2">
      <c r="A4" s="27">
        <v>43509</v>
      </c>
      <c r="B4" s="32" t="s">
        <v>126</v>
      </c>
      <c r="C4" s="32" t="s">
        <v>127</v>
      </c>
      <c r="D4" s="31">
        <v>1983</v>
      </c>
      <c r="E4" s="44">
        <v>1</v>
      </c>
      <c r="F4" s="31">
        <v>851</v>
      </c>
      <c r="G4" s="31">
        <v>106.4</v>
      </c>
      <c r="H4" s="31" t="s">
        <v>27</v>
      </c>
      <c r="I4" s="31" t="s">
        <v>353</v>
      </c>
      <c r="J4" s="31" t="s">
        <v>352</v>
      </c>
      <c r="K4" s="31">
        <f t="shared" si="0"/>
        <v>13</v>
      </c>
      <c r="L4" s="31">
        <f t="shared" si="1"/>
        <v>2</v>
      </c>
      <c r="M4" s="31">
        <v>1</v>
      </c>
      <c r="N4" s="31">
        <v>2</v>
      </c>
      <c r="O4" s="31">
        <v>0</v>
      </c>
      <c r="P4" s="31"/>
      <c r="Q4" s="46" t="s">
        <v>106</v>
      </c>
      <c r="R4" s="31">
        <f t="shared" si="2"/>
        <v>1</v>
      </c>
      <c r="S4" s="31" t="s">
        <v>11</v>
      </c>
      <c r="T4" s="31" t="s">
        <v>163</v>
      </c>
      <c r="U4" s="31">
        <f t="shared" si="3"/>
        <v>0</v>
      </c>
      <c r="V4" s="31">
        <v>30</v>
      </c>
      <c r="W4" s="31">
        <f t="shared" si="4"/>
        <v>25530</v>
      </c>
      <c r="X4" s="31">
        <v>9</v>
      </c>
      <c r="Y4" s="44">
        <f>Data!I18</f>
        <v>86400</v>
      </c>
      <c r="Z4" s="31" t="s">
        <v>128</v>
      </c>
      <c r="AA4" s="31">
        <v>1450656000</v>
      </c>
      <c r="AB4" s="31" t="str">
        <f t="shared" si="5"/>
        <v>4</v>
      </c>
      <c r="AC4" s="34">
        <f>AVERAGE(Data!I18:BN18)</f>
        <v>462829600</v>
      </c>
      <c r="AD4" s="31" t="str">
        <f t="shared" si="6"/>
        <v>4</v>
      </c>
      <c r="AE4" s="44">
        <f t="shared" si="7"/>
        <v>1450569600</v>
      </c>
      <c r="AF4" s="45">
        <f>Data!I19</f>
        <v>0.98699999999999999</v>
      </c>
      <c r="AG4" s="34">
        <f>((Data!J19-Data!I19)+(Data!K19-Data!J19)+(Data!L19-Data!K19)+(Data!M19-Data!L19)+(Data!N19-Data!M19)+(Data!O19-Data!N19)+(Data!P19-Data!O19)+(Data!Q19-Data!P19))/8</f>
        <v>-8.4624999999999978E-2</v>
      </c>
    </row>
    <row r="5" spans="1:118" s="3" customFormat="1" ht="12" customHeight="1" x14ac:dyDescent="0.2">
      <c r="A5" s="27">
        <v>43509</v>
      </c>
      <c r="B5" s="32" t="s">
        <v>126</v>
      </c>
      <c r="C5" s="32" t="s">
        <v>127</v>
      </c>
      <c r="D5" s="31">
        <v>1983</v>
      </c>
      <c r="E5" s="44">
        <v>1</v>
      </c>
      <c r="F5" s="31">
        <v>851</v>
      </c>
      <c r="G5" s="31">
        <v>106.4</v>
      </c>
      <c r="H5" s="31" t="s">
        <v>27</v>
      </c>
      <c r="I5" s="31" t="s">
        <v>354</v>
      </c>
      <c r="J5" s="31" t="s">
        <v>352</v>
      </c>
      <c r="K5" s="31">
        <f t="shared" si="0"/>
        <v>13</v>
      </c>
      <c r="L5" s="31">
        <f t="shared" si="1"/>
        <v>2</v>
      </c>
      <c r="M5" s="31">
        <v>1</v>
      </c>
      <c r="N5" s="31">
        <v>2</v>
      </c>
      <c r="O5" s="31">
        <v>0</v>
      </c>
      <c r="P5" s="31"/>
      <c r="Q5" s="31" t="s">
        <v>77</v>
      </c>
      <c r="R5" s="31">
        <f t="shared" si="2"/>
        <v>9</v>
      </c>
      <c r="S5" s="31" t="s">
        <v>11</v>
      </c>
      <c r="T5" s="31" t="s">
        <v>163</v>
      </c>
      <c r="U5" s="31">
        <f t="shared" si="3"/>
        <v>0</v>
      </c>
      <c r="V5" s="31">
        <v>27</v>
      </c>
      <c r="W5" s="31">
        <f t="shared" si="4"/>
        <v>22977</v>
      </c>
      <c r="X5" s="31">
        <v>9</v>
      </c>
      <c r="Y5" s="44">
        <f>Data!I20</f>
        <v>86400</v>
      </c>
      <c r="Z5" s="31" t="s">
        <v>128</v>
      </c>
      <c r="AA5" s="31">
        <v>1450656000</v>
      </c>
      <c r="AB5" s="31" t="str">
        <f t="shared" si="5"/>
        <v>4</v>
      </c>
      <c r="AC5" s="34">
        <f>AVERAGE(Data!I20:BN20)</f>
        <v>462829600</v>
      </c>
      <c r="AD5" s="31" t="str">
        <f t="shared" si="6"/>
        <v>4</v>
      </c>
      <c r="AE5" s="44">
        <f t="shared" si="7"/>
        <v>1450569600</v>
      </c>
      <c r="AF5" s="45">
        <f>Data!I21</f>
        <v>0.98699999999999999</v>
      </c>
      <c r="AG5" s="34">
        <f>((Data!J21-Data!I21)+(Data!K21-Data!J21)+(Data!L21-Data!K21)+(Data!M21-Data!L21)+(Data!N21-Data!M21)+(Data!O21-Data!N21)+(Data!P21-Data!O21)+(Data!Q21-Data!P21))/8</f>
        <v>-9.4375000000000014E-2</v>
      </c>
    </row>
    <row r="6" spans="1:118" s="3" customFormat="1" ht="12" customHeight="1" x14ac:dyDescent="0.2">
      <c r="A6" s="27">
        <v>43509</v>
      </c>
      <c r="B6" s="32" t="s">
        <v>126</v>
      </c>
      <c r="C6" s="32" t="s">
        <v>127</v>
      </c>
      <c r="D6" s="31">
        <v>1983</v>
      </c>
      <c r="E6" s="44">
        <v>1</v>
      </c>
      <c r="F6" s="31">
        <v>851</v>
      </c>
      <c r="G6" s="31">
        <v>106.4</v>
      </c>
      <c r="H6" s="31" t="s">
        <v>27</v>
      </c>
      <c r="I6" s="31" t="s">
        <v>355</v>
      </c>
      <c r="J6" s="31" t="s">
        <v>352</v>
      </c>
      <c r="K6" s="31">
        <f t="shared" si="0"/>
        <v>13</v>
      </c>
      <c r="L6" s="31">
        <f t="shared" si="1"/>
        <v>2</v>
      </c>
      <c r="M6" s="31">
        <v>1</v>
      </c>
      <c r="N6" s="31">
        <v>2</v>
      </c>
      <c r="O6" s="31">
        <v>0</v>
      </c>
      <c r="P6" s="31"/>
      <c r="Q6" s="31" t="s">
        <v>45</v>
      </c>
      <c r="R6" s="31">
        <f t="shared" si="2"/>
        <v>2</v>
      </c>
      <c r="S6" s="31" t="s">
        <v>11</v>
      </c>
      <c r="T6" s="31" t="s">
        <v>163</v>
      </c>
      <c r="U6" s="31">
        <f t="shared" si="3"/>
        <v>0</v>
      </c>
      <c r="V6" s="31">
        <v>20</v>
      </c>
      <c r="W6" s="31">
        <f t="shared" si="4"/>
        <v>17020</v>
      </c>
      <c r="X6" s="31">
        <v>9</v>
      </c>
      <c r="Y6" s="44">
        <f>Data!I22</f>
        <v>86400</v>
      </c>
      <c r="Z6" s="31" t="s">
        <v>128</v>
      </c>
      <c r="AA6" s="31">
        <v>1450656000</v>
      </c>
      <c r="AB6" s="31" t="str">
        <f t="shared" si="5"/>
        <v>4</v>
      </c>
      <c r="AC6" s="34">
        <f>AVERAGE(Data!I22:BN22)</f>
        <v>462829600</v>
      </c>
      <c r="AD6" s="31" t="str">
        <f t="shared" si="6"/>
        <v>4</v>
      </c>
      <c r="AE6" s="44">
        <f t="shared" si="7"/>
        <v>1450569600</v>
      </c>
      <c r="AF6" s="45">
        <f>Data!I23</f>
        <v>0.98499999999999999</v>
      </c>
      <c r="AG6" s="34">
        <f>((Data!J23-Data!I23)+(Data!K23-Data!J23)+(Data!L23-Data!K23)+(Data!M23-Data!L23)+(Data!N23-Data!M23)+(Data!O23-Data!N23)+(Data!P23-Data!O23)+(Data!Q23-Data!P23))/8</f>
        <v>-0.11412499999999999</v>
      </c>
    </row>
    <row r="7" spans="1:118" s="3" customFormat="1" ht="12" customHeight="1" x14ac:dyDescent="0.2">
      <c r="A7" s="27">
        <v>43509</v>
      </c>
      <c r="B7" s="32" t="s">
        <v>126</v>
      </c>
      <c r="C7" s="32" t="s">
        <v>127</v>
      </c>
      <c r="D7" s="31">
        <v>1983</v>
      </c>
      <c r="E7" s="44">
        <v>1</v>
      </c>
      <c r="F7" s="31">
        <v>851</v>
      </c>
      <c r="G7" s="31">
        <v>106.4</v>
      </c>
      <c r="H7" s="31" t="s">
        <v>146</v>
      </c>
      <c r="I7" s="31" t="s">
        <v>356</v>
      </c>
      <c r="J7" s="31" t="s">
        <v>352</v>
      </c>
      <c r="K7" s="31">
        <f t="shared" si="0"/>
        <v>13</v>
      </c>
      <c r="L7" s="31">
        <f t="shared" si="1"/>
        <v>2</v>
      </c>
      <c r="M7" s="31">
        <v>1</v>
      </c>
      <c r="N7" s="31">
        <v>2</v>
      </c>
      <c r="O7" s="31">
        <v>0</v>
      </c>
      <c r="P7" s="31"/>
      <c r="Q7" s="46" t="s">
        <v>106</v>
      </c>
      <c r="R7" s="31">
        <f t="shared" si="2"/>
        <v>1</v>
      </c>
      <c r="S7" s="31" t="s">
        <v>11</v>
      </c>
      <c r="T7" s="31" t="s">
        <v>163</v>
      </c>
      <c r="U7" s="31">
        <f t="shared" si="3"/>
        <v>0</v>
      </c>
      <c r="V7" s="31">
        <v>30</v>
      </c>
      <c r="W7" s="31">
        <f t="shared" si="4"/>
        <v>25530</v>
      </c>
      <c r="X7" s="31">
        <v>9</v>
      </c>
      <c r="Y7" s="44">
        <f>Data!I24</f>
        <v>86400</v>
      </c>
      <c r="Z7" s="31" t="s">
        <v>128</v>
      </c>
      <c r="AA7" s="31">
        <v>1450656000</v>
      </c>
      <c r="AB7" s="31" t="str">
        <f t="shared" si="5"/>
        <v>4</v>
      </c>
      <c r="AC7" s="34">
        <f>AVERAGE(Data!I24:BN24)</f>
        <v>462829600</v>
      </c>
      <c r="AD7" s="31" t="str">
        <f t="shared" si="6"/>
        <v>4</v>
      </c>
      <c r="AE7" s="44">
        <f t="shared" si="7"/>
        <v>1450569600</v>
      </c>
      <c r="AF7" s="45">
        <f>Data!I25</f>
        <v>0.99399999999999999</v>
      </c>
      <c r="AG7" s="34">
        <f>((Data!J25-Data!I25)+(Data!K25-Data!J25)+(Data!L25-Data!K25)+(Data!M25-Data!L25)+(Data!N25-Data!M25)+(Data!O25-Data!N25)+(Data!P25-Data!O25)+(Data!Q25-Data!P25))/8</f>
        <v>-7.7250000000000013E-2</v>
      </c>
    </row>
    <row r="8" spans="1:118" s="3" customFormat="1" ht="12" customHeight="1" x14ac:dyDescent="0.2">
      <c r="A8" s="27">
        <v>43509</v>
      </c>
      <c r="B8" s="32" t="s">
        <v>126</v>
      </c>
      <c r="C8" s="32" t="s">
        <v>127</v>
      </c>
      <c r="D8" s="31">
        <v>1983</v>
      </c>
      <c r="E8" s="44">
        <v>1</v>
      </c>
      <c r="F8" s="31">
        <v>851</v>
      </c>
      <c r="G8" s="31">
        <v>106.4</v>
      </c>
      <c r="H8" s="31" t="s">
        <v>146</v>
      </c>
      <c r="I8" s="31" t="s">
        <v>357</v>
      </c>
      <c r="J8" s="31" t="s">
        <v>352</v>
      </c>
      <c r="K8" s="31">
        <f t="shared" si="0"/>
        <v>13</v>
      </c>
      <c r="L8" s="31">
        <f t="shared" si="1"/>
        <v>2</v>
      </c>
      <c r="M8" s="31">
        <v>1</v>
      </c>
      <c r="N8" s="31">
        <v>2</v>
      </c>
      <c r="O8" s="31">
        <v>0</v>
      </c>
      <c r="P8" s="31"/>
      <c r="Q8" s="31" t="s">
        <v>77</v>
      </c>
      <c r="R8" s="31">
        <f t="shared" si="2"/>
        <v>9</v>
      </c>
      <c r="S8" s="31" t="s">
        <v>11</v>
      </c>
      <c r="T8" s="31" t="s">
        <v>163</v>
      </c>
      <c r="U8" s="31">
        <f t="shared" si="3"/>
        <v>0</v>
      </c>
      <c r="V8" s="31">
        <v>13</v>
      </c>
      <c r="W8" s="31">
        <f t="shared" si="4"/>
        <v>11063</v>
      </c>
      <c r="X8" s="31">
        <v>9</v>
      </c>
      <c r="Y8" s="44">
        <f>Data!I26</f>
        <v>86400</v>
      </c>
      <c r="Z8" s="31" t="s">
        <v>128</v>
      </c>
      <c r="AA8" s="31">
        <v>1450656000</v>
      </c>
      <c r="AB8" s="31" t="str">
        <f t="shared" si="5"/>
        <v>4</v>
      </c>
      <c r="AC8" s="34">
        <f>AVERAGE(Data!I26:BN26)</f>
        <v>462829600</v>
      </c>
      <c r="AD8" s="31" t="str">
        <f t="shared" si="6"/>
        <v>4</v>
      </c>
      <c r="AE8" s="44">
        <f t="shared" si="7"/>
        <v>1450569600</v>
      </c>
      <c r="AF8" s="45">
        <f>Data!I27</f>
        <v>0.997</v>
      </c>
      <c r="AG8" s="34">
        <f>((Data!J27-Data!I27)+(Data!K27-Data!J27)+(Data!L27-Data!K27)+(Data!M27-Data!L27)+(Data!N27-Data!M27)+(Data!O27-Data!N27)+(Data!P27-Data!O27)+(Data!Q27-Data!P27))/8</f>
        <v>-5.1250000000000004E-2</v>
      </c>
    </row>
    <row r="9" spans="1:118" s="9" customFormat="1" ht="12" customHeight="1" x14ac:dyDescent="0.2">
      <c r="A9" s="27">
        <v>43509</v>
      </c>
      <c r="B9" s="32" t="s">
        <v>126</v>
      </c>
      <c r="C9" s="32" t="s">
        <v>127</v>
      </c>
      <c r="D9" s="31">
        <v>1983</v>
      </c>
      <c r="E9" s="44">
        <v>1</v>
      </c>
      <c r="F9" s="31">
        <v>851</v>
      </c>
      <c r="G9" s="31">
        <v>106.4</v>
      </c>
      <c r="H9" s="31" t="s">
        <v>146</v>
      </c>
      <c r="I9" s="31" t="s">
        <v>358</v>
      </c>
      <c r="J9" s="31" t="s">
        <v>352</v>
      </c>
      <c r="K9" s="31">
        <f t="shared" si="0"/>
        <v>13</v>
      </c>
      <c r="L9" s="31">
        <f t="shared" si="1"/>
        <v>2</v>
      </c>
      <c r="M9" s="31">
        <v>1</v>
      </c>
      <c r="N9" s="31">
        <v>2</v>
      </c>
      <c r="O9" s="31">
        <v>0</v>
      </c>
      <c r="P9" s="31"/>
      <c r="Q9" s="31" t="s">
        <v>45</v>
      </c>
      <c r="R9" s="31">
        <f t="shared" si="2"/>
        <v>2</v>
      </c>
      <c r="S9" s="31" t="s">
        <v>11</v>
      </c>
      <c r="T9" s="31" t="s">
        <v>163</v>
      </c>
      <c r="U9" s="31">
        <f t="shared" si="3"/>
        <v>0</v>
      </c>
      <c r="V9" s="31">
        <v>13</v>
      </c>
      <c r="W9" s="31">
        <f t="shared" si="4"/>
        <v>11063</v>
      </c>
      <c r="X9" s="31">
        <v>9</v>
      </c>
      <c r="Y9" s="44">
        <f>Data!I28</f>
        <v>86400</v>
      </c>
      <c r="Z9" s="31" t="s">
        <v>128</v>
      </c>
      <c r="AA9" s="31">
        <v>1450656000</v>
      </c>
      <c r="AB9" s="31" t="str">
        <f t="shared" si="5"/>
        <v>4</v>
      </c>
      <c r="AC9" s="34">
        <f>AVERAGE(Data!I28:BN28)</f>
        <v>462829600</v>
      </c>
      <c r="AD9" s="31" t="str">
        <f t="shared" si="6"/>
        <v>4</v>
      </c>
      <c r="AE9" s="44">
        <f t="shared" si="7"/>
        <v>1450569600</v>
      </c>
      <c r="AF9" s="45">
        <f>Data!I29</f>
        <v>0.996</v>
      </c>
      <c r="AG9" s="34">
        <f>((Data!J29-Data!I29)+(Data!K29-Data!J29)+(Data!L29-Data!K29)+(Data!M29-Data!L29)+(Data!N29-Data!M29)+(Data!O29-Data!N29)+(Data!P29-Data!O29)+(Data!Q29-Data!P29))/8</f>
        <v>-9.0124999999999983E-2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s="3" customFormat="1" ht="12" customHeight="1" x14ac:dyDescent="0.2">
      <c r="A10" s="27">
        <v>43509</v>
      </c>
      <c r="B10" s="32" t="s">
        <v>126</v>
      </c>
      <c r="C10" s="32" t="s">
        <v>127</v>
      </c>
      <c r="D10" s="31">
        <v>1983</v>
      </c>
      <c r="E10" s="44">
        <v>1</v>
      </c>
      <c r="F10" s="31">
        <v>851</v>
      </c>
      <c r="G10" s="31">
        <v>106.4</v>
      </c>
      <c r="H10" s="31" t="s">
        <v>146</v>
      </c>
      <c r="I10" s="31" t="s">
        <v>359</v>
      </c>
      <c r="J10" s="31" t="s">
        <v>352</v>
      </c>
      <c r="K10" s="31">
        <f t="shared" si="0"/>
        <v>13</v>
      </c>
      <c r="L10" s="31">
        <f t="shared" si="1"/>
        <v>2</v>
      </c>
      <c r="M10" s="31">
        <v>1</v>
      </c>
      <c r="N10" s="31">
        <v>2</v>
      </c>
      <c r="O10" s="31">
        <v>0</v>
      </c>
      <c r="P10" s="31"/>
      <c r="Q10" s="46" t="s">
        <v>106</v>
      </c>
      <c r="R10" s="31">
        <f t="shared" si="2"/>
        <v>1</v>
      </c>
      <c r="S10" s="31" t="s">
        <v>11</v>
      </c>
      <c r="T10" s="31" t="s">
        <v>163</v>
      </c>
      <c r="U10" s="31">
        <f t="shared" si="3"/>
        <v>0</v>
      </c>
      <c r="V10" s="31">
        <v>30</v>
      </c>
      <c r="W10" s="31">
        <f t="shared" si="4"/>
        <v>25530</v>
      </c>
      <c r="X10" s="31">
        <v>9</v>
      </c>
      <c r="Y10" s="44">
        <f>Data!I30</f>
        <v>86400</v>
      </c>
      <c r="Z10" s="31" t="s">
        <v>128</v>
      </c>
      <c r="AA10" s="31">
        <v>1450656000</v>
      </c>
      <c r="AB10" s="31" t="str">
        <f t="shared" si="5"/>
        <v>4</v>
      </c>
      <c r="AC10" s="34">
        <f>AVERAGE(Data!I30:BN30)</f>
        <v>462829600</v>
      </c>
      <c r="AD10" s="31" t="str">
        <f t="shared" si="6"/>
        <v>4</v>
      </c>
      <c r="AE10" s="44">
        <f t="shared" si="7"/>
        <v>1450569600</v>
      </c>
      <c r="AF10" s="45">
        <f>Data!I31</f>
        <v>0.99399999999999999</v>
      </c>
      <c r="AG10" s="34">
        <f>((Data!J31-Data!I31)+(Data!K31-Data!J31)+(Data!L31-Data!K31)+(Data!M31-Data!L31)+(Data!N31-Data!M31)+(Data!O31-Data!N31)+(Data!P31-Data!O31)+(Data!Q31-Data!P31))/8</f>
        <v>-0.104375</v>
      </c>
      <c r="DN10" s="4"/>
    </row>
    <row r="11" spans="1:118" s="3" customFormat="1" ht="12" customHeight="1" x14ac:dyDescent="0.2">
      <c r="A11" s="27">
        <v>43509</v>
      </c>
      <c r="B11" s="32" t="s">
        <v>126</v>
      </c>
      <c r="C11" s="32" t="s">
        <v>127</v>
      </c>
      <c r="D11" s="31">
        <v>1983</v>
      </c>
      <c r="E11" s="44">
        <v>1</v>
      </c>
      <c r="F11" s="31">
        <v>851</v>
      </c>
      <c r="G11" s="31">
        <v>106.4</v>
      </c>
      <c r="H11" s="31" t="s">
        <v>146</v>
      </c>
      <c r="I11" s="31" t="s">
        <v>360</v>
      </c>
      <c r="J11" s="31" t="s">
        <v>352</v>
      </c>
      <c r="K11" s="31">
        <f t="shared" si="0"/>
        <v>13</v>
      </c>
      <c r="L11" s="31">
        <f t="shared" si="1"/>
        <v>2</v>
      </c>
      <c r="M11" s="31">
        <v>1</v>
      </c>
      <c r="N11" s="31">
        <v>2</v>
      </c>
      <c r="O11" s="31">
        <v>0</v>
      </c>
      <c r="P11" s="31"/>
      <c r="Q11" s="31" t="s">
        <v>77</v>
      </c>
      <c r="R11" s="31">
        <f t="shared" si="2"/>
        <v>9</v>
      </c>
      <c r="S11" s="31" t="s">
        <v>11</v>
      </c>
      <c r="T11" s="31" t="s">
        <v>163</v>
      </c>
      <c r="U11" s="31">
        <f t="shared" si="3"/>
        <v>0</v>
      </c>
      <c r="V11" s="31">
        <v>13</v>
      </c>
      <c r="W11" s="31">
        <f t="shared" si="4"/>
        <v>11063</v>
      </c>
      <c r="X11" s="31">
        <v>9</v>
      </c>
      <c r="Y11" s="44">
        <f>Data!I32</f>
        <v>86400</v>
      </c>
      <c r="Z11" s="31" t="s">
        <v>128</v>
      </c>
      <c r="AA11" s="31">
        <v>1450656000</v>
      </c>
      <c r="AB11" s="31" t="str">
        <f t="shared" si="5"/>
        <v>4</v>
      </c>
      <c r="AC11" s="34">
        <f>AVERAGE(Data!I32:BN32)</f>
        <v>462829600</v>
      </c>
      <c r="AD11" s="31" t="str">
        <f t="shared" si="6"/>
        <v>4</v>
      </c>
      <c r="AE11" s="44">
        <f t="shared" si="7"/>
        <v>1450569600</v>
      </c>
      <c r="AF11" s="45">
        <f>Data!I33</f>
        <v>0.999</v>
      </c>
      <c r="AG11" s="34">
        <f>((Data!J33-Data!I33)+(Data!K33-Data!J33)+(Data!L33-Data!K33)+(Data!M33-Data!L33)+(Data!N33-Data!M33)+(Data!O33-Data!N33)+(Data!P33-Data!O33)+(Data!Q33-Data!P33))/8</f>
        <v>-6.9750000000000006E-2</v>
      </c>
      <c r="DN11" s="4"/>
    </row>
    <row r="12" spans="1:118" s="3" customFormat="1" ht="12" customHeight="1" x14ac:dyDescent="0.2">
      <c r="A12" s="27">
        <v>43509</v>
      </c>
      <c r="B12" s="32" t="s">
        <v>126</v>
      </c>
      <c r="C12" s="32" t="s">
        <v>127</v>
      </c>
      <c r="D12" s="31">
        <v>1983</v>
      </c>
      <c r="E12" s="44">
        <v>1</v>
      </c>
      <c r="F12" s="31">
        <v>851</v>
      </c>
      <c r="G12" s="31">
        <v>106.4</v>
      </c>
      <c r="H12" s="31" t="s">
        <v>146</v>
      </c>
      <c r="I12" s="31" t="s">
        <v>361</v>
      </c>
      <c r="J12" s="31" t="s">
        <v>352</v>
      </c>
      <c r="K12" s="31">
        <f t="shared" si="0"/>
        <v>13</v>
      </c>
      <c r="L12" s="31">
        <f t="shared" si="1"/>
        <v>2</v>
      </c>
      <c r="M12" s="31">
        <v>1</v>
      </c>
      <c r="N12" s="31">
        <v>2</v>
      </c>
      <c r="O12" s="31">
        <v>0</v>
      </c>
      <c r="P12" s="31"/>
      <c r="Q12" s="31" t="s">
        <v>45</v>
      </c>
      <c r="R12" s="31">
        <f t="shared" si="2"/>
        <v>2</v>
      </c>
      <c r="S12" s="31" t="s">
        <v>11</v>
      </c>
      <c r="T12" s="31" t="s">
        <v>163</v>
      </c>
      <c r="U12" s="31">
        <f t="shared" si="3"/>
        <v>0</v>
      </c>
      <c r="V12" s="31">
        <v>13</v>
      </c>
      <c r="W12" s="31">
        <f t="shared" si="4"/>
        <v>11063</v>
      </c>
      <c r="X12" s="31">
        <v>9</v>
      </c>
      <c r="Y12" s="44">
        <f>Data!I34</f>
        <v>86400</v>
      </c>
      <c r="Z12" s="31" t="s">
        <v>128</v>
      </c>
      <c r="AA12" s="31">
        <v>1450656000</v>
      </c>
      <c r="AB12" s="31" t="str">
        <f t="shared" si="5"/>
        <v>4</v>
      </c>
      <c r="AC12" s="34">
        <f>AVERAGE(Data!I34:BN34)</f>
        <v>462829600</v>
      </c>
      <c r="AD12" s="31" t="str">
        <f t="shared" si="6"/>
        <v>4</v>
      </c>
      <c r="AE12" s="44">
        <f t="shared" si="7"/>
        <v>1450569600</v>
      </c>
      <c r="AF12" s="45">
        <f>Data!I35</f>
        <v>0.998</v>
      </c>
      <c r="AG12" s="34">
        <f>((Data!J35-Data!I35)+(Data!K35-Data!J35)+(Data!L35-Data!K35)+(Data!M35-Data!L35)+(Data!N35-Data!M35)+(Data!O35-Data!N35)+(Data!P35-Data!O35)+(Data!Q35-Data!P35))/8</f>
        <v>-0.12425</v>
      </c>
      <c r="DN12" s="4"/>
    </row>
    <row r="13" spans="1:118" s="3" customFormat="1" ht="12" customHeight="1" x14ac:dyDescent="0.2">
      <c r="A13" s="27">
        <v>43509</v>
      </c>
      <c r="B13" s="1" t="s">
        <v>129</v>
      </c>
      <c r="C13" s="1" t="s">
        <v>123</v>
      </c>
      <c r="D13" s="23">
        <v>1984</v>
      </c>
      <c r="E13" s="38">
        <v>1</v>
      </c>
      <c r="F13" s="23">
        <v>773</v>
      </c>
      <c r="G13" s="23">
        <v>91.6</v>
      </c>
      <c r="H13" s="23" t="s">
        <v>368</v>
      </c>
      <c r="I13" s="23" t="s">
        <v>366</v>
      </c>
      <c r="J13" s="23" t="s">
        <v>369</v>
      </c>
      <c r="K13" s="23">
        <f t="shared" si="0"/>
        <v>14</v>
      </c>
      <c r="L13" s="23" t="str">
        <f t="shared" si="1"/>
        <v>2</v>
      </c>
      <c r="M13" s="23">
        <v>1</v>
      </c>
      <c r="N13" s="23">
        <v>2</v>
      </c>
      <c r="O13" s="23">
        <v>0</v>
      </c>
      <c r="P13" s="23"/>
      <c r="Q13" s="22" t="s">
        <v>106</v>
      </c>
      <c r="R13" s="23">
        <f t="shared" si="2"/>
        <v>1</v>
      </c>
      <c r="S13" s="23" t="s">
        <v>31</v>
      </c>
      <c r="T13" s="23" t="s">
        <v>163</v>
      </c>
      <c r="U13" s="23">
        <f t="shared" si="3"/>
        <v>0</v>
      </c>
      <c r="V13" s="23">
        <v>30</v>
      </c>
      <c r="W13" s="23">
        <f t="shared" si="4"/>
        <v>23190</v>
      </c>
      <c r="X13" s="23">
        <v>9</v>
      </c>
      <c r="Y13" s="38">
        <f>Data!I36</f>
        <v>60</v>
      </c>
      <c r="Z13" s="23" t="s">
        <v>130</v>
      </c>
      <c r="AA13" s="23">
        <v>1576800000</v>
      </c>
      <c r="AB13" s="23" t="str">
        <f t="shared" si="5"/>
        <v>4</v>
      </c>
      <c r="AC13" s="19">
        <f>AVERAGE(Data!I36:BN36)</f>
        <v>503028406.66666669</v>
      </c>
      <c r="AD13" s="23" t="str">
        <f t="shared" si="6"/>
        <v>4</v>
      </c>
      <c r="AE13" s="38">
        <f t="shared" si="7"/>
        <v>1576799940</v>
      </c>
      <c r="AF13" s="41">
        <f>Data!I37</f>
        <v>1</v>
      </c>
      <c r="AG13" s="21">
        <f>((Data!J37-Data!I37)+(Data!K37-Data!J37)+(Data!L37-Data!K37)+(Data!M37-Data!L37)+(Data!N37-Data!M37)+(Data!O37-Data!N37)+(Data!P37-Data!O37)+(Data!Q37-Data!P37))/8</f>
        <v>-5.7441977447706377E-2</v>
      </c>
    </row>
    <row r="14" spans="1:118" s="3" customFormat="1" ht="12" customHeight="1" x14ac:dyDescent="0.2">
      <c r="A14" s="27">
        <v>43509</v>
      </c>
      <c r="B14" s="1" t="s">
        <v>129</v>
      </c>
      <c r="C14" s="1" t="s">
        <v>123</v>
      </c>
      <c r="D14" s="23">
        <v>1984</v>
      </c>
      <c r="E14" s="38">
        <v>1</v>
      </c>
      <c r="F14" s="23">
        <v>773</v>
      </c>
      <c r="G14" s="23">
        <v>91.6</v>
      </c>
      <c r="H14" s="23" t="s">
        <v>368</v>
      </c>
      <c r="I14" s="23" t="s">
        <v>367</v>
      </c>
      <c r="J14" s="23" t="s">
        <v>369</v>
      </c>
      <c r="K14" s="23">
        <f t="shared" si="0"/>
        <v>14</v>
      </c>
      <c r="L14" s="23" t="str">
        <f t="shared" si="1"/>
        <v>2</v>
      </c>
      <c r="M14" s="23">
        <v>1</v>
      </c>
      <c r="N14" s="23">
        <v>2</v>
      </c>
      <c r="O14" s="23">
        <v>0</v>
      </c>
      <c r="P14" s="23"/>
      <c r="Q14" s="23" t="s">
        <v>111</v>
      </c>
      <c r="R14" s="23">
        <f t="shared" si="2"/>
        <v>4</v>
      </c>
      <c r="S14" s="23" t="s">
        <v>11</v>
      </c>
      <c r="T14" s="23" t="s">
        <v>163</v>
      </c>
      <c r="U14" s="23">
        <f t="shared" si="3"/>
        <v>0</v>
      </c>
      <c r="V14" s="23">
        <v>30</v>
      </c>
      <c r="W14" s="23">
        <f t="shared" si="4"/>
        <v>23190</v>
      </c>
      <c r="X14" s="23">
        <v>9</v>
      </c>
      <c r="Y14" s="38">
        <f>Data!I38</f>
        <v>60</v>
      </c>
      <c r="Z14" s="23" t="s">
        <v>130</v>
      </c>
      <c r="AA14" s="23">
        <v>1576800000</v>
      </c>
      <c r="AB14" s="23" t="str">
        <f t="shared" si="5"/>
        <v>4</v>
      </c>
      <c r="AC14" s="19">
        <f>AVERAGE(Data!I38:BN38)</f>
        <v>503028406.66666669</v>
      </c>
      <c r="AD14" s="23" t="str">
        <f t="shared" si="6"/>
        <v>4</v>
      </c>
      <c r="AE14" s="38">
        <f t="shared" si="7"/>
        <v>1576799940</v>
      </c>
      <c r="AF14" s="41">
        <f>Data!I39</f>
        <v>1</v>
      </c>
      <c r="AG14" s="21">
        <f>((Data!J39-Data!I39)+(Data!K39-Data!J39)+(Data!L39-Data!K39)+(Data!M39-Data!L39)+(Data!N39-Data!M39)+(Data!O39-Data!N39)+(Data!P39-Data!O39)+(Data!Q39-Data!P39))/8</f>
        <v>-7.1332457696983265E-2</v>
      </c>
    </row>
    <row r="15" spans="1:118" s="3" customFormat="1" ht="12" customHeight="1" x14ac:dyDescent="0.2">
      <c r="A15" s="27">
        <v>43509</v>
      </c>
      <c r="B15" s="1" t="s">
        <v>129</v>
      </c>
      <c r="C15" s="1" t="s">
        <v>123</v>
      </c>
      <c r="D15" s="23">
        <v>1984</v>
      </c>
      <c r="E15" s="38">
        <v>1</v>
      </c>
      <c r="F15" s="23">
        <v>773</v>
      </c>
      <c r="G15" s="23">
        <v>91.6</v>
      </c>
      <c r="H15" s="23" t="s">
        <v>26</v>
      </c>
      <c r="I15" s="23" t="s">
        <v>362</v>
      </c>
      <c r="J15" s="23" t="s">
        <v>190</v>
      </c>
      <c r="K15" s="23">
        <f t="shared" si="0"/>
        <v>21</v>
      </c>
      <c r="L15" s="23">
        <f t="shared" si="1"/>
        <v>4</v>
      </c>
      <c r="M15" s="23">
        <v>1</v>
      </c>
      <c r="N15" s="23">
        <v>2</v>
      </c>
      <c r="O15" s="23">
        <v>0</v>
      </c>
      <c r="P15" s="23"/>
      <c r="Q15" s="23" t="s">
        <v>111</v>
      </c>
      <c r="R15" s="23">
        <f t="shared" si="2"/>
        <v>4</v>
      </c>
      <c r="S15" s="23" t="s">
        <v>11</v>
      </c>
      <c r="T15" s="23" t="s">
        <v>163</v>
      </c>
      <c r="U15" s="23">
        <f t="shared" si="3"/>
        <v>0</v>
      </c>
      <c r="V15" s="23">
        <v>30</v>
      </c>
      <c r="W15" s="23">
        <f t="shared" si="4"/>
        <v>23190</v>
      </c>
      <c r="X15" s="23">
        <v>9</v>
      </c>
      <c r="Y15" s="38">
        <f>Data!I40</f>
        <v>60</v>
      </c>
      <c r="Z15" s="23" t="s">
        <v>130</v>
      </c>
      <c r="AA15" s="23">
        <v>1576800000</v>
      </c>
      <c r="AB15" s="23" t="str">
        <f t="shared" si="5"/>
        <v>4</v>
      </c>
      <c r="AC15" s="19">
        <f>AVERAGE(Data!I40:BN40)</f>
        <v>503028406.66666669</v>
      </c>
      <c r="AD15" s="23" t="str">
        <f t="shared" si="6"/>
        <v>4</v>
      </c>
      <c r="AE15" s="38">
        <f t="shared" si="7"/>
        <v>1576799940</v>
      </c>
      <c r="AF15" s="41">
        <f>Data!I41</f>
        <v>1</v>
      </c>
      <c r="AG15" s="19">
        <f>((Data!J41-Data!I41)+(Data!K41-Data!J41)+(Data!L41-Data!K41)+(Data!M41-Data!L41)+(Data!N41-Data!M41)+(Data!O41-Data!N41)+(Data!P41-Data!O41)+(Data!Q41-Data!P41))/8</f>
        <v>-7.8474505167613867E-2</v>
      </c>
    </row>
    <row r="16" spans="1:118" s="3" customFormat="1" ht="12" customHeight="1" x14ac:dyDescent="0.2">
      <c r="A16" s="27">
        <v>43509</v>
      </c>
      <c r="B16" s="1" t="s">
        <v>129</v>
      </c>
      <c r="C16" s="1" t="s">
        <v>123</v>
      </c>
      <c r="D16" s="23">
        <v>1984</v>
      </c>
      <c r="E16" s="38">
        <v>1</v>
      </c>
      <c r="F16" s="23">
        <v>773</v>
      </c>
      <c r="G16" s="23">
        <v>91.6</v>
      </c>
      <c r="H16" s="23" t="s">
        <v>26</v>
      </c>
      <c r="I16" s="23" t="s">
        <v>363</v>
      </c>
      <c r="J16" s="23" t="s">
        <v>190</v>
      </c>
      <c r="K16" s="23">
        <f t="shared" si="0"/>
        <v>21</v>
      </c>
      <c r="L16" s="23">
        <f t="shared" si="1"/>
        <v>4</v>
      </c>
      <c r="M16" s="23">
        <v>1</v>
      </c>
      <c r="N16" s="23">
        <v>2</v>
      </c>
      <c r="O16" s="23">
        <v>0</v>
      </c>
      <c r="P16" s="23"/>
      <c r="Q16" s="22" t="s">
        <v>106</v>
      </c>
      <c r="R16" s="23">
        <f t="shared" si="2"/>
        <v>1</v>
      </c>
      <c r="S16" s="23" t="s">
        <v>31</v>
      </c>
      <c r="T16" s="23" t="s">
        <v>163</v>
      </c>
      <c r="U16" s="23">
        <f t="shared" si="3"/>
        <v>0</v>
      </c>
      <c r="V16" s="23">
        <v>30</v>
      </c>
      <c r="W16" s="23">
        <f t="shared" si="4"/>
        <v>23190</v>
      </c>
      <c r="X16" s="23">
        <v>9</v>
      </c>
      <c r="Y16" s="38">
        <f>Data!I42</f>
        <v>60</v>
      </c>
      <c r="Z16" s="23" t="s">
        <v>130</v>
      </c>
      <c r="AA16" s="23">
        <v>1576800000</v>
      </c>
      <c r="AB16" s="23" t="str">
        <f t="shared" si="5"/>
        <v>4</v>
      </c>
      <c r="AC16" s="19">
        <f>AVERAGE(Data!I42:BN42)</f>
        <v>503028406.66666669</v>
      </c>
      <c r="AD16" s="23" t="str">
        <f t="shared" si="6"/>
        <v>4</v>
      </c>
      <c r="AE16" s="38">
        <f t="shared" si="7"/>
        <v>1576799940</v>
      </c>
      <c r="AF16" s="41">
        <f>Data!I43</f>
        <v>1</v>
      </c>
      <c r="AG16" s="21">
        <f>((Data!J43-Data!I43)+(Data!K43-Data!J43)+(Data!L43-Data!K43)+(Data!M43-Data!L43)+(Data!N43-Data!M43)+(Data!O43-Data!N43)+(Data!P43-Data!O43)+(Data!Q43-Data!P43))/8</f>
        <v>-3.5944090614393132E-2</v>
      </c>
    </row>
    <row r="17" spans="1:118" s="3" customFormat="1" ht="12" customHeight="1" x14ac:dyDescent="0.2">
      <c r="A17" s="27">
        <v>43509</v>
      </c>
      <c r="B17" s="1" t="s">
        <v>129</v>
      </c>
      <c r="C17" s="1" t="s">
        <v>123</v>
      </c>
      <c r="D17" s="23">
        <v>1984</v>
      </c>
      <c r="E17" s="38">
        <v>1</v>
      </c>
      <c r="F17" s="23">
        <v>773</v>
      </c>
      <c r="G17" s="23">
        <v>91.6</v>
      </c>
      <c r="H17" s="23" t="s">
        <v>26</v>
      </c>
      <c r="I17" s="23" t="s">
        <v>364</v>
      </c>
      <c r="J17" s="23" t="s">
        <v>190</v>
      </c>
      <c r="K17" s="23">
        <f t="shared" si="0"/>
        <v>21</v>
      </c>
      <c r="L17" s="23">
        <f t="shared" si="1"/>
        <v>4</v>
      </c>
      <c r="M17" s="23">
        <v>1</v>
      </c>
      <c r="N17" s="23">
        <v>2</v>
      </c>
      <c r="O17" s="23">
        <v>0</v>
      </c>
      <c r="P17" s="23"/>
      <c r="Q17" s="23" t="s">
        <v>111</v>
      </c>
      <c r="R17" s="23">
        <f t="shared" si="2"/>
        <v>4</v>
      </c>
      <c r="S17" s="23" t="s">
        <v>11</v>
      </c>
      <c r="T17" s="23" t="s">
        <v>163</v>
      </c>
      <c r="U17" s="23">
        <f t="shared" si="3"/>
        <v>0</v>
      </c>
      <c r="V17" s="23">
        <v>30</v>
      </c>
      <c r="W17" s="23">
        <f t="shared" si="4"/>
        <v>23190</v>
      </c>
      <c r="X17" s="23">
        <v>9</v>
      </c>
      <c r="Y17" s="38">
        <f>Data!I44</f>
        <v>60</v>
      </c>
      <c r="Z17" s="23" t="s">
        <v>130</v>
      </c>
      <c r="AA17" s="23">
        <v>1576800000</v>
      </c>
      <c r="AB17" s="23" t="str">
        <f t="shared" si="5"/>
        <v>4</v>
      </c>
      <c r="AC17" s="19">
        <f>AVERAGE(Data!I44:BN44)</f>
        <v>503028406.66666669</v>
      </c>
      <c r="AD17" s="23" t="str">
        <f t="shared" si="6"/>
        <v>4</v>
      </c>
      <c r="AE17" s="38">
        <f t="shared" si="7"/>
        <v>1576799940</v>
      </c>
      <c r="AF17" s="41">
        <f>Data!I45</f>
        <v>1</v>
      </c>
      <c r="AG17" s="19">
        <f>((Data!J45-Data!I45)+(Data!K45-Data!J45)+(Data!L45-Data!K45)+(Data!M45-Data!L45)+(Data!N45-Data!M45)+(Data!O45-Data!N45)+(Data!P45-Data!O45)+(Data!Q45-Data!P45))/8</f>
        <v>-8.5942183745852621E-2</v>
      </c>
    </row>
    <row r="18" spans="1:118" s="3" customFormat="1" ht="12" customHeight="1" x14ac:dyDescent="0.2">
      <c r="A18" s="27">
        <v>43509</v>
      </c>
      <c r="B18" s="1" t="s">
        <v>129</v>
      </c>
      <c r="C18" s="1" t="s">
        <v>123</v>
      </c>
      <c r="D18" s="23">
        <v>1984</v>
      </c>
      <c r="E18" s="38">
        <v>1</v>
      </c>
      <c r="F18" s="23">
        <v>773</v>
      </c>
      <c r="G18" s="23">
        <v>91.6</v>
      </c>
      <c r="H18" s="23" t="s">
        <v>26</v>
      </c>
      <c r="I18" s="23" t="s">
        <v>365</v>
      </c>
      <c r="J18" s="23" t="s">
        <v>190</v>
      </c>
      <c r="K18" s="23">
        <f t="shared" si="0"/>
        <v>21</v>
      </c>
      <c r="L18" s="23">
        <f t="shared" si="1"/>
        <v>4</v>
      </c>
      <c r="M18" s="23">
        <v>1</v>
      </c>
      <c r="N18" s="23">
        <v>2</v>
      </c>
      <c r="O18" s="23">
        <v>0</v>
      </c>
      <c r="P18" s="23"/>
      <c r="Q18" s="22" t="s">
        <v>106</v>
      </c>
      <c r="R18" s="23">
        <f t="shared" si="2"/>
        <v>1</v>
      </c>
      <c r="S18" s="23" t="s">
        <v>31</v>
      </c>
      <c r="T18" s="23" t="s">
        <v>163</v>
      </c>
      <c r="U18" s="23">
        <f t="shared" si="3"/>
        <v>0</v>
      </c>
      <c r="V18" s="23">
        <v>30</v>
      </c>
      <c r="W18" s="23">
        <f t="shared" si="4"/>
        <v>23190</v>
      </c>
      <c r="X18" s="23">
        <v>9</v>
      </c>
      <c r="Y18" s="38">
        <f>Data!I46</f>
        <v>60</v>
      </c>
      <c r="Z18" s="23" t="s">
        <v>130</v>
      </c>
      <c r="AA18" s="23">
        <v>1576800000</v>
      </c>
      <c r="AB18" s="23" t="str">
        <f t="shared" si="5"/>
        <v>4</v>
      </c>
      <c r="AC18" s="19">
        <f>AVERAGE(Data!I46:BN46)</f>
        <v>503028406.66666669</v>
      </c>
      <c r="AD18" s="23" t="str">
        <f t="shared" si="6"/>
        <v>4</v>
      </c>
      <c r="AE18" s="38">
        <f t="shared" si="7"/>
        <v>1576799940</v>
      </c>
      <c r="AF18" s="41">
        <f>Data!I47</f>
        <v>1</v>
      </c>
      <c r="AG18" s="21">
        <f>((Data!J47-Data!I47)+(Data!K47-Data!J47)+(Data!L47-Data!K47)+(Data!M47-Data!L47)+(Data!N47-Data!M47)+(Data!O47-Data!N47)+(Data!P47-Data!O47)+(Data!Q47-Data!P47))/8</f>
        <v>-3.9470271919453875E-2</v>
      </c>
    </row>
    <row r="19" spans="1:118" s="3" customFormat="1" ht="12" customHeight="1" x14ac:dyDescent="0.2">
      <c r="A19" s="27">
        <v>43509</v>
      </c>
      <c r="B19" s="1" t="s">
        <v>122</v>
      </c>
      <c r="C19" s="1" t="s">
        <v>123</v>
      </c>
      <c r="D19" s="23">
        <v>1975</v>
      </c>
      <c r="E19" s="38">
        <v>1</v>
      </c>
      <c r="F19" s="23">
        <v>392</v>
      </c>
      <c r="G19" s="23">
        <v>43.6</v>
      </c>
      <c r="H19" s="23" t="s">
        <v>143</v>
      </c>
      <c r="I19" s="23" t="s">
        <v>346</v>
      </c>
      <c r="J19" s="23" t="s">
        <v>352</v>
      </c>
      <c r="K19" s="23">
        <f t="shared" si="0"/>
        <v>13</v>
      </c>
      <c r="L19" s="23">
        <f t="shared" si="1"/>
        <v>2</v>
      </c>
      <c r="M19" s="23">
        <v>1</v>
      </c>
      <c r="N19" s="23">
        <v>2</v>
      </c>
      <c r="O19" s="23">
        <v>0</v>
      </c>
      <c r="P19" s="23"/>
      <c r="Q19" s="22" t="s">
        <v>106</v>
      </c>
      <c r="R19" s="23">
        <f t="shared" si="2"/>
        <v>1</v>
      </c>
      <c r="S19" s="23" t="s">
        <v>16</v>
      </c>
      <c r="T19" s="23" t="s">
        <v>163</v>
      </c>
      <c r="U19" s="23">
        <f t="shared" si="3"/>
        <v>0</v>
      </c>
      <c r="V19" s="23">
        <v>294.2</v>
      </c>
      <c r="W19" s="23">
        <f t="shared" si="4"/>
        <v>115326.39999999999</v>
      </c>
      <c r="X19" s="23">
        <v>9</v>
      </c>
      <c r="Y19" s="38">
        <f>Data!I6</f>
        <v>8567280</v>
      </c>
      <c r="Z19" s="23" t="s">
        <v>125</v>
      </c>
      <c r="AA19" s="23">
        <v>1513728000</v>
      </c>
      <c r="AB19" s="23" t="str">
        <f t="shared" si="5"/>
        <v>4</v>
      </c>
      <c r="AC19" s="19">
        <f>AVERAGE(Data!I6:BN6)</f>
        <v>476868120</v>
      </c>
      <c r="AD19" s="23" t="str">
        <f t="shared" si="6"/>
        <v>4</v>
      </c>
      <c r="AE19" s="38">
        <f t="shared" si="7"/>
        <v>1505160720</v>
      </c>
      <c r="AF19" s="41">
        <f>Data!I7</f>
        <v>0.47</v>
      </c>
      <c r="AG19" s="19">
        <f>((Data!J7-Data!I7)+(Data!K7-Data!J7)+(Data!L7-Data!K7)+(Data!M7-Data!L7)+(Data!N7-Data!M7)+(Data!O7-Data!N7)+(Data!P7-Data!O7)+(Data!Q7-Data!P7))/8</f>
        <v>-3.4374999999999996E-2</v>
      </c>
    </row>
    <row r="20" spans="1:118" s="3" customFormat="1" ht="12" customHeight="1" x14ac:dyDescent="0.2">
      <c r="A20" s="27">
        <v>43509</v>
      </c>
      <c r="B20" s="1" t="s">
        <v>122</v>
      </c>
      <c r="C20" s="1" t="s">
        <v>123</v>
      </c>
      <c r="D20" s="23">
        <v>1975</v>
      </c>
      <c r="E20" s="38">
        <v>1</v>
      </c>
      <c r="F20" s="23">
        <v>392</v>
      </c>
      <c r="G20" s="23">
        <v>43.6</v>
      </c>
      <c r="H20" s="23" t="s">
        <v>143</v>
      </c>
      <c r="I20" s="23" t="s">
        <v>348</v>
      </c>
      <c r="J20" s="23" t="s">
        <v>352</v>
      </c>
      <c r="K20" s="23">
        <f t="shared" si="0"/>
        <v>13</v>
      </c>
      <c r="L20" s="23">
        <f t="shared" si="1"/>
        <v>2</v>
      </c>
      <c r="M20" s="23">
        <v>1</v>
      </c>
      <c r="N20" s="23">
        <v>2</v>
      </c>
      <c r="O20" s="23">
        <v>0</v>
      </c>
      <c r="P20" s="23"/>
      <c r="Q20" s="23" t="s">
        <v>111</v>
      </c>
      <c r="R20" s="23">
        <f t="shared" si="2"/>
        <v>4</v>
      </c>
      <c r="S20" s="23" t="s">
        <v>11</v>
      </c>
      <c r="T20" s="23" t="s">
        <v>163</v>
      </c>
      <c r="U20" s="23">
        <f t="shared" si="3"/>
        <v>0</v>
      </c>
      <c r="V20" s="23">
        <v>130</v>
      </c>
      <c r="W20" s="23">
        <f t="shared" si="4"/>
        <v>50960</v>
      </c>
      <c r="X20" s="23">
        <v>9</v>
      </c>
      <c r="Y20" s="38">
        <f>Data!I8</f>
        <v>8567280</v>
      </c>
      <c r="Z20" s="23" t="s">
        <v>125</v>
      </c>
      <c r="AA20" s="23">
        <v>1513728000</v>
      </c>
      <c r="AB20" s="23" t="str">
        <f t="shared" si="5"/>
        <v>4</v>
      </c>
      <c r="AC20" s="19">
        <f>AVERAGE(Data!I8:BN8)</f>
        <v>476868120</v>
      </c>
      <c r="AD20" s="23" t="str">
        <f t="shared" si="6"/>
        <v>4</v>
      </c>
      <c r="AE20" s="38">
        <f t="shared" si="7"/>
        <v>1505160720</v>
      </c>
      <c r="AF20" s="41">
        <f>Data!I9</f>
        <v>0.91</v>
      </c>
      <c r="AG20" s="19">
        <f>((Data!J9-Data!I9)+(Data!K9-Data!J9)+(Data!L9-Data!K9)+(Data!M9-Data!L9)+(Data!N9-Data!M9)+(Data!O9-Data!N9)+(Data!P9-Data!O9)+(Data!Q9-Data!P9))/8</f>
        <v>-1.7500000000000002E-2</v>
      </c>
    </row>
    <row r="21" spans="1:118" s="3" customFormat="1" ht="12" customHeight="1" x14ac:dyDescent="0.2">
      <c r="A21" s="27">
        <v>43509</v>
      </c>
      <c r="B21" s="1" t="s">
        <v>122</v>
      </c>
      <c r="C21" s="1" t="s">
        <v>123</v>
      </c>
      <c r="D21" s="23">
        <v>1975</v>
      </c>
      <c r="E21" s="38">
        <v>1</v>
      </c>
      <c r="F21" s="23">
        <v>392</v>
      </c>
      <c r="G21" s="23">
        <v>43.6</v>
      </c>
      <c r="H21" s="23" t="s">
        <v>143</v>
      </c>
      <c r="I21" s="23" t="s">
        <v>349</v>
      </c>
      <c r="J21" s="23" t="s">
        <v>186</v>
      </c>
      <c r="K21" s="23">
        <f t="shared" si="0"/>
        <v>10</v>
      </c>
      <c r="L21" s="23">
        <f t="shared" si="1"/>
        <v>2</v>
      </c>
      <c r="M21" s="23">
        <v>1</v>
      </c>
      <c r="N21" s="23">
        <v>2</v>
      </c>
      <c r="O21" s="23">
        <v>0</v>
      </c>
      <c r="P21" s="23"/>
      <c r="Q21" s="23" t="s">
        <v>111</v>
      </c>
      <c r="R21" s="23">
        <f t="shared" si="2"/>
        <v>4</v>
      </c>
      <c r="S21" s="23" t="s">
        <v>11</v>
      </c>
      <c r="T21" s="23" t="s">
        <v>163</v>
      </c>
      <c r="U21" s="23">
        <f t="shared" si="3"/>
        <v>0</v>
      </c>
      <c r="V21" s="23">
        <v>130</v>
      </c>
      <c r="W21" s="23">
        <f t="shared" si="4"/>
        <v>50960</v>
      </c>
      <c r="X21" s="23">
        <v>9</v>
      </c>
      <c r="Y21" s="38">
        <f>Data!I10</f>
        <v>8567280</v>
      </c>
      <c r="Z21" s="23" t="s">
        <v>125</v>
      </c>
      <c r="AA21" s="23">
        <v>1513728000</v>
      </c>
      <c r="AB21" s="23" t="str">
        <f t="shared" si="5"/>
        <v>4</v>
      </c>
      <c r="AC21" s="19">
        <f>AVERAGE(Data!I10:BN10)</f>
        <v>476868120</v>
      </c>
      <c r="AD21" s="23" t="str">
        <f t="shared" si="6"/>
        <v>4</v>
      </c>
      <c r="AE21" s="38">
        <f t="shared" si="7"/>
        <v>1505160720</v>
      </c>
      <c r="AF21" s="41">
        <f>Data!I11</f>
        <v>0.89</v>
      </c>
      <c r="AG21" s="19">
        <f>((Data!J11-Data!I11)+(Data!K11-Data!J11)+(Data!L11-Data!K11)+(Data!M11-Data!L11)+(Data!N11-Data!M11)+(Data!O11-Data!N11)+(Data!P11-Data!O11)+(Data!Q11-Data!P11))/8</f>
        <v>-2.0000000000000004E-2</v>
      </c>
    </row>
    <row r="22" spans="1:118" s="3" customFormat="1" ht="12" customHeight="1" x14ac:dyDescent="0.2">
      <c r="A22" s="27">
        <v>43509</v>
      </c>
      <c r="B22" s="1" t="s">
        <v>122</v>
      </c>
      <c r="C22" s="1" t="s">
        <v>123</v>
      </c>
      <c r="D22" s="23">
        <v>1975</v>
      </c>
      <c r="E22" s="38">
        <v>1</v>
      </c>
      <c r="F22" s="23">
        <v>392</v>
      </c>
      <c r="G22" s="23">
        <v>43.6</v>
      </c>
      <c r="H22" s="23" t="s">
        <v>143</v>
      </c>
      <c r="I22" s="23" t="s">
        <v>350</v>
      </c>
      <c r="J22" s="23" t="s">
        <v>186</v>
      </c>
      <c r="K22" s="23">
        <f t="shared" si="0"/>
        <v>10</v>
      </c>
      <c r="L22" s="23">
        <f t="shared" si="1"/>
        <v>2</v>
      </c>
      <c r="M22" s="23">
        <v>1</v>
      </c>
      <c r="N22" s="23">
        <v>2</v>
      </c>
      <c r="O22" s="23">
        <v>0</v>
      </c>
      <c r="P22" s="23"/>
      <c r="Q22" s="23" t="s">
        <v>77</v>
      </c>
      <c r="R22" s="23">
        <f t="shared" si="2"/>
        <v>9</v>
      </c>
      <c r="S22" s="23" t="s">
        <v>11</v>
      </c>
      <c r="T22" s="23" t="s">
        <v>163</v>
      </c>
      <c r="U22" s="23">
        <f t="shared" si="3"/>
        <v>0</v>
      </c>
      <c r="V22" s="23">
        <v>5</v>
      </c>
      <c r="W22" s="23">
        <f t="shared" si="4"/>
        <v>1960</v>
      </c>
      <c r="X22" s="23">
        <v>9</v>
      </c>
      <c r="Y22" s="38">
        <f>Data!I12</f>
        <v>8567280</v>
      </c>
      <c r="Z22" s="23" t="s">
        <v>125</v>
      </c>
      <c r="AA22" s="23">
        <v>1513728000</v>
      </c>
      <c r="AB22" s="23" t="str">
        <f t="shared" si="5"/>
        <v>4</v>
      </c>
      <c r="AC22" s="19">
        <f>AVERAGE(Data!I12:BN12)</f>
        <v>476868120</v>
      </c>
      <c r="AD22" s="23" t="str">
        <f t="shared" si="6"/>
        <v>4</v>
      </c>
      <c r="AE22" s="38">
        <f t="shared" si="7"/>
        <v>1505160720</v>
      </c>
      <c r="AF22" s="41">
        <f>Data!I13</f>
        <v>0.88</v>
      </c>
      <c r="AG22" s="19">
        <f>((Data!J13-Data!I13)+(Data!K13-Data!J13)+(Data!L13-Data!K13)+(Data!M13-Data!L13)+(Data!N13-Data!M13)+(Data!O13-Data!N13)+(Data!P13-Data!O13)+(Data!Q13-Data!P13))/8</f>
        <v>-2.3750000000000007E-2</v>
      </c>
    </row>
    <row r="23" spans="1:118" s="3" customFormat="1" ht="12" customHeight="1" x14ac:dyDescent="0.2">
      <c r="A23" s="27">
        <v>43509</v>
      </c>
      <c r="B23" s="1" t="s">
        <v>122</v>
      </c>
      <c r="C23" s="1" t="s">
        <v>123</v>
      </c>
      <c r="D23" s="23">
        <v>1975</v>
      </c>
      <c r="E23" s="38">
        <v>1</v>
      </c>
      <c r="F23" s="23">
        <v>392</v>
      </c>
      <c r="G23" s="23">
        <v>43.6</v>
      </c>
      <c r="H23" s="23" t="s">
        <v>143</v>
      </c>
      <c r="I23" s="23" t="s">
        <v>347</v>
      </c>
      <c r="J23" s="23" t="s">
        <v>352</v>
      </c>
      <c r="K23" s="23">
        <f t="shared" si="0"/>
        <v>13</v>
      </c>
      <c r="L23" s="23">
        <f t="shared" si="1"/>
        <v>2</v>
      </c>
      <c r="M23" s="23">
        <v>1</v>
      </c>
      <c r="N23" s="23">
        <v>2</v>
      </c>
      <c r="O23" s="23">
        <v>0</v>
      </c>
      <c r="P23" s="23"/>
      <c r="Q23" s="23" t="s">
        <v>77</v>
      </c>
      <c r="R23" s="23">
        <f t="shared" si="2"/>
        <v>9</v>
      </c>
      <c r="S23" s="23" t="s">
        <v>11</v>
      </c>
      <c r="T23" s="23" t="s">
        <v>163</v>
      </c>
      <c r="U23" s="23">
        <f t="shared" si="3"/>
        <v>0</v>
      </c>
      <c r="V23" s="23">
        <v>10</v>
      </c>
      <c r="W23" s="23">
        <f t="shared" si="4"/>
        <v>3920</v>
      </c>
      <c r="X23" s="23">
        <v>9</v>
      </c>
      <c r="Y23" s="38">
        <f>Data!I14</f>
        <v>8567280</v>
      </c>
      <c r="Z23" s="23" t="s">
        <v>125</v>
      </c>
      <c r="AA23" s="23">
        <v>1513728000</v>
      </c>
      <c r="AB23" s="23" t="str">
        <f t="shared" si="5"/>
        <v>4</v>
      </c>
      <c r="AC23" s="19">
        <f>AVERAGE(Data!I14:BN14)</f>
        <v>476868120</v>
      </c>
      <c r="AD23" s="23" t="str">
        <f t="shared" si="6"/>
        <v>4</v>
      </c>
      <c r="AE23" s="38">
        <f t="shared" si="7"/>
        <v>1505160720</v>
      </c>
      <c r="AF23" s="41">
        <f>Data!I15</f>
        <v>0.9</v>
      </c>
      <c r="AG23" s="19">
        <f>((Data!J15-Data!I15)+(Data!K15-Data!J15)+(Data!L15-Data!K15)+(Data!M15-Data!L15)+(Data!N15-Data!M15)+(Data!O15-Data!N15)+(Data!P15-Data!O15)+(Data!Q15-Data!P15))/8</f>
        <v>-3.8750000000000007E-2</v>
      </c>
    </row>
    <row r="24" spans="1:118" s="3" customFormat="1" ht="12" customHeight="1" x14ac:dyDescent="0.2">
      <c r="A24" s="27">
        <v>43509</v>
      </c>
      <c r="B24" s="1" t="s">
        <v>122</v>
      </c>
      <c r="C24" s="1" t="s">
        <v>123</v>
      </c>
      <c r="D24" s="23">
        <v>1975</v>
      </c>
      <c r="E24" s="38">
        <v>1</v>
      </c>
      <c r="F24" s="23">
        <v>392</v>
      </c>
      <c r="G24" s="23">
        <v>43.6</v>
      </c>
      <c r="H24" s="23" t="s">
        <v>143</v>
      </c>
      <c r="I24" s="23" t="s">
        <v>351</v>
      </c>
      <c r="J24" s="23" t="s">
        <v>186</v>
      </c>
      <c r="K24" s="23">
        <f t="shared" si="0"/>
        <v>10</v>
      </c>
      <c r="L24" s="23">
        <f t="shared" si="1"/>
        <v>2</v>
      </c>
      <c r="M24" s="23">
        <v>1</v>
      </c>
      <c r="N24" s="23">
        <v>2</v>
      </c>
      <c r="O24" s="23">
        <v>0</v>
      </c>
      <c r="P24" s="23"/>
      <c r="Q24" s="22" t="s">
        <v>45</v>
      </c>
      <c r="R24" s="23">
        <f t="shared" si="2"/>
        <v>2</v>
      </c>
      <c r="S24" s="23" t="s">
        <v>16</v>
      </c>
      <c r="T24" s="23" t="s">
        <v>163</v>
      </c>
      <c r="U24" s="23">
        <f t="shared" si="3"/>
        <v>0</v>
      </c>
      <c r="V24" s="23">
        <v>10</v>
      </c>
      <c r="W24" s="23">
        <f t="shared" si="4"/>
        <v>3920</v>
      </c>
      <c r="X24" s="23">
        <v>9</v>
      </c>
      <c r="Y24" s="38">
        <f>Data!I16</f>
        <v>8567280</v>
      </c>
      <c r="Z24" s="23" t="s">
        <v>125</v>
      </c>
      <c r="AA24" s="23">
        <v>1513728000</v>
      </c>
      <c r="AB24" s="23" t="str">
        <f t="shared" si="5"/>
        <v>4</v>
      </c>
      <c r="AC24" s="19">
        <f>AVERAGE(Data!I16:BN16)</f>
        <v>476868120</v>
      </c>
      <c r="AD24" s="23" t="str">
        <f t="shared" si="6"/>
        <v>4</v>
      </c>
      <c r="AE24" s="38">
        <f t="shared" si="7"/>
        <v>1505160720</v>
      </c>
      <c r="AF24" s="41">
        <f>Data!I17</f>
        <v>0.68</v>
      </c>
      <c r="AG24" s="19">
        <f>((Data!J17-Data!I17)+(Data!K17-Data!J17)+(Data!L17-Data!K17)+(Data!M17-Data!L17)+(Data!N17-Data!M17)+(Data!O17-Data!N17)+(Data!P17-Data!O17)+(Data!Q17-Data!P17))/8</f>
        <v>-6.25E-2</v>
      </c>
    </row>
    <row r="25" spans="1:118" s="3" customFormat="1" ht="12" customHeight="1" x14ac:dyDescent="0.2">
      <c r="A25" s="27">
        <v>43509</v>
      </c>
      <c r="B25" s="32" t="s">
        <v>131</v>
      </c>
      <c r="C25" s="32" t="s">
        <v>132</v>
      </c>
      <c r="D25" s="31">
        <v>2008</v>
      </c>
      <c r="E25" s="44">
        <v>1</v>
      </c>
      <c r="F25" s="31">
        <v>267</v>
      </c>
      <c r="G25" s="31">
        <v>55.2</v>
      </c>
      <c r="H25" s="31" t="s">
        <v>26</v>
      </c>
      <c r="I25" s="31" t="s">
        <v>371</v>
      </c>
      <c r="J25" s="31" t="s">
        <v>370</v>
      </c>
      <c r="K25" s="31">
        <f t="shared" si="0"/>
        <v>15</v>
      </c>
      <c r="L25" s="31">
        <f t="shared" si="1"/>
        <v>2</v>
      </c>
      <c r="M25" s="31">
        <v>0</v>
      </c>
      <c r="N25" s="31">
        <v>1</v>
      </c>
      <c r="O25" s="31">
        <v>0</v>
      </c>
      <c r="P25" s="31"/>
      <c r="Q25" s="46" t="s">
        <v>106</v>
      </c>
      <c r="R25" s="31">
        <f t="shared" si="2"/>
        <v>1</v>
      </c>
      <c r="S25" s="31" t="s">
        <v>31</v>
      </c>
      <c r="T25" s="31" t="s">
        <v>163</v>
      </c>
      <c r="U25" s="31">
        <f t="shared" si="3"/>
        <v>0</v>
      </c>
      <c r="V25" s="31">
        <v>14.4</v>
      </c>
      <c r="W25" s="31">
        <f t="shared" si="4"/>
        <v>3844.8</v>
      </c>
      <c r="X25" s="31">
        <v>5</v>
      </c>
      <c r="Y25" s="44">
        <f>Data!I48</f>
        <v>7884000</v>
      </c>
      <c r="Z25" s="31" t="s">
        <v>145</v>
      </c>
      <c r="AA25" s="31">
        <f>47.25*365*24*60*60</f>
        <v>1490076000</v>
      </c>
      <c r="AB25" s="31" t="str">
        <f t="shared" si="5"/>
        <v>4</v>
      </c>
      <c r="AC25" s="34">
        <f>AVERAGE(Data!I48:BN48)</f>
        <v>678024000</v>
      </c>
      <c r="AD25" s="31" t="str">
        <f t="shared" si="6"/>
        <v>4</v>
      </c>
      <c r="AE25" s="44">
        <f t="shared" si="7"/>
        <v>1482192000</v>
      </c>
      <c r="AF25" s="45">
        <f>Data!I49</f>
        <v>0.78100000000000003</v>
      </c>
      <c r="AG25" s="34">
        <f>((Data!J49-Data!I49)+(Data!K49-Data!J49)+(Data!L49-Data!K49)+(Data!M49-Data!L49))/4</f>
        <v>-0.125</v>
      </c>
      <c r="DN25" s="4"/>
    </row>
    <row r="26" spans="1:118" s="3" customFormat="1" ht="12" customHeight="1" x14ac:dyDescent="0.2">
      <c r="A26" s="27">
        <v>43509</v>
      </c>
      <c r="B26" s="32" t="s">
        <v>131</v>
      </c>
      <c r="C26" s="32" t="s">
        <v>132</v>
      </c>
      <c r="D26" s="31">
        <v>2008</v>
      </c>
      <c r="E26" s="44">
        <v>1</v>
      </c>
      <c r="F26" s="31">
        <v>267</v>
      </c>
      <c r="G26" s="31">
        <v>55.2</v>
      </c>
      <c r="H26" s="31" t="s">
        <v>26</v>
      </c>
      <c r="I26" s="31" t="s">
        <v>372</v>
      </c>
      <c r="J26" s="31" t="s">
        <v>370</v>
      </c>
      <c r="K26" s="31">
        <f t="shared" si="0"/>
        <v>15</v>
      </c>
      <c r="L26" s="31">
        <f t="shared" si="1"/>
        <v>2</v>
      </c>
      <c r="M26" s="31">
        <v>0</v>
      </c>
      <c r="N26" s="31">
        <v>1</v>
      </c>
      <c r="O26" s="31">
        <v>0</v>
      </c>
      <c r="P26" s="31"/>
      <c r="Q26" s="46" t="s">
        <v>106</v>
      </c>
      <c r="R26" s="31">
        <f t="shared" si="2"/>
        <v>1</v>
      </c>
      <c r="S26" s="31" t="s">
        <v>31</v>
      </c>
      <c r="T26" s="31" t="s">
        <v>163</v>
      </c>
      <c r="U26" s="31">
        <f t="shared" si="3"/>
        <v>0</v>
      </c>
      <c r="V26" s="31">
        <v>14.4</v>
      </c>
      <c r="W26" s="31">
        <f t="shared" si="4"/>
        <v>3844.8</v>
      </c>
      <c r="X26" s="31">
        <v>5</v>
      </c>
      <c r="Y26" s="44">
        <f>Data!I50</f>
        <v>7884000</v>
      </c>
      <c r="Z26" s="31" t="s">
        <v>145</v>
      </c>
      <c r="AA26" s="31">
        <f>47.25*365*24*60*60</f>
        <v>1490076000</v>
      </c>
      <c r="AB26" s="31" t="str">
        <f t="shared" si="5"/>
        <v>4</v>
      </c>
      <c r="AC26" s="34">
        <f>AVERAGE(Data!I50:BN50)</f>
        <v>678024000</v>
      </c>
      <c r="AD26" s="31" t="str">
        <f t="shared" si="6"/>
        <v>4</v>
      </c>
      <c r="AE26" s="44">
        <f t="shared" si="7"/>
        <v>1482192000</v>
      </c>
      <c r="AF26" s="45">
        <f>Data!I51</f>
        <v>0.67600000000000005</v>
      </c>
      <c r="AG26" s="34">
        <f>((Data!J51-Data!I51)+(Data!K51-Data!J51)+(Data!L51-Data!K51)+(Data!M51-Data!L51))/4</f>
        <v>-8.975000000000001E-2</v>
      </c>
      <c r="DN26" s="4"/>
    </row>
    <row r="27" spans="1:118" s="3" customFormat="1" ht="12" customHeight="1" x14ac:dyDescent="0.25">
      <c r="A27" s="27">
        <v>43895</v>
      </c>
      <c r="B27" s="48" t="s">
        <v>198</v>
      </c>
      <c r="C27" s="48" t="s">
        <v>36</v>
      </c>
      <c r="D27" s="46">
        <v>1990</v>
      </c>
      <c r="E27" s="56">
        <v>1</v>
      </c>
      <c r="F27" s="46">
        <v>6</v>
      </c>
      <c r="G27" s="46">
        <v>6</v>
      </c>
      <c r="H27" s="46" t="s">
        <v>25</v>
      </c>
      <c r="I27" s="46" t="s">
        <v>197</v>
      </c>
      <c r="J27" s="46" t="s">
        <v>231</v>
      </c>
      <c r="K27" s="31">
        <f t="shared" si="0"/>
        <v>29</v>
      </c>
      <c r="L27" s="31">
        <f t="shared" si="1"/>
        <v>4</v>
      </c>
      <c r="M27" s="31">
        <v>1</v>
      </c>
      <c r="N27" s="46">
        <v>2</v>
      </c>
      <c r="O27" s="31">
        <v>0</v>
      </c>
      <c r="P27" s="46"/>
      <c r="Q27" s="31" t="s">
        <v>111</v>
      </c>
      <c r="R27" s="31">
        <f t="shared" si="2"/>
        <v>4</v>
      </c>
      <c r="S27" s="31" t="s">
        <v>11</v>
      </c>
      <c r="T27" s="46" t="s">
        <v>342</v>
      </c>
      <c r="U27" s="31">
        <f t="shared" si="3"/>
        <v>1</v>
      </c>
      <c r="V27" s="46">
        <v>72</v>
      </c>
      <c r="W27" s="31">
        <f t="shared" si="4"/>
        <v>432</v>
      </c>
      <c r="X27" s="46">
        <v>5</v>
      </c>
      <c r="Y27" s="44">
        <f>Data!I54</f>
        <v>189216000</v>
      </c>
      <c r="Z27" s="46" t="s">
        <v>232</v>
      </c>
      <c r="AA27" s="31">
        <f>18*365*24*60*60</f>
        <v>567648000</v>
      </c>
      <c r="AB27" s="31" t="str">
        <f t="shared" si="5"/>
        <v>4</v>
      </c>
      <c r="AC27" s="34">
        <f>AVERAGE(Data!I54:BN54)</f>
        <v>378432000</v>
      </c>
      <c r="AD27" s="31" t="str">
        <f t="shared" si="6"/>
        <v>4</v>
      </c>
      <c r="AE27" s="44">
        <f t="shared" si="7"/>
        <v>378432000</v>
      </c>
      <c r="AF27" s="45">
        <f>Data!I55</f>
        <v>0.67</v>
      </c>
      <c r="AG27" s="47">
        <f>((Data!J55-Data!I55)+(Data!K55-Data!J55)+(Data!L55-Data!K55)+(Data!M55-Data!L55))/4</f>
        <v>-2.5000000000000022E-3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</row>
    <row r="28" spans="1:118" s="3" customFormat="1" ht="12" customHeight="1" x14ac:dyDescent="0.2">
      <c r="A28" s="27">
        <v>43909</v>
      </c>
      <c r="B28" s="1" t="s">
        <v>306</v>
      </c>
      <c r="C28" s="1" t="s">
        <v>81</v>
      </c>
      <c r="D28" s="23">
        <v>1912</v>
      </c>
      <c r="E28" s="38">
        <v>1</v>
      </c>
      <c r="F28" s="23">
        <v>756</v>
      </c>
      <c r="G28" s="23">
        <v>126</v>
      </c>
      <c r="H28" s="23" t="s">
        <v>277</v>
      </c>
      <c r="I28" s="23"/>
      <c r="J28" s="23" t="s">
        <v>376</v>
      </c>
      <c r="K28" s="23">
        <f t="shared" si="0"/>
        <v>6</v>
      </c>
      <c r="L28" s="23">
        <f t="shared" si="1"/>
        <v>1</v>
      </c>
      <c r="M28" s="23">
        <v>0</v>
      </c>
      <c r="N28" s="24">
        <v>1</v>
      </c>
      <c r="O28" s="23">
        <v>0</v>
      </c>
      <c r="P28" s="23"/>
      <c r="Q28" s="23" t="s">
        <v>106</v>
      </c>
      <c r="R28" s="23">
        <f t="shared" si="2"/>
        <v>1</v>
      </c>
      <c r="S28" s="23" t="s">
        <v>31</v>
      </c>
      <c r="T28" s="23" t="s">
        <v>163</v>
      </c>
      <c r="U28" s="23">
        <f t="shared" si="3"/>
        <v>0</v>
      </c>
      <c r="V28" s="23">
        <v>9</v>
      </c>
      <c r="W28" s="23">
        <f t="shared" si="4"/>
        <v>6804</v>
      </c>
      <c r="X28" s="23">
        <v>6</v>
      </c>
      <c r="Y28" s="38">
        <f>Data!I56</f>
        <v>86400</v>
      </c>
      <c r="Z28" s="23" t="s">
        <v>14</v>
      </c>
      <c r="AA28" s="23">
        <f>28*24*60*60</f>
        <v>2419200</v>
      </c>
      <c r="AB28" s="23" t="str">
        <f t="shared" si="5"/>
        <v>4</v>
      </c>
      <c r="AC28" s="19">
        <f>AVERAGE(Data!I56:BN56)</f>
        <v>1080000</v>
      </c>
      <c r="AD28" s="23" t="str">
        <f t="shared" si="6"/>
        <v>4</v>
      </c>
      <c r="AE28" s="38">
        <f t="shared" si="7"/>
        <v>2332800</v>
      </c>
      <c r="AF28" s="41">
        <f>Data!I57</f>
        <v>0.878</v>
      </c>
      <c r="AG28" s="19">
        <f>((Data!J57-Data!I57)+(Data!K57-Data!J57)+(Data!L57-Data!K57)+(Data!M57-Data!L57)+(Data!N57-Data!M57))/5</f>
        <v>-1.9999999999999997E-2</v>
      </c>
    </row>
    <row r="29" spans="1:118" s="3" customFormat="1" ht="12" customHeight="1" x14ac:dyDescent="0.2">
      <c r="A29" s="27">
        <v>43909</v>
      </c>
      <c r="B29" s="1" t="s">
        <v>306</v>
      </c>
      <c r="C29" s="1" t="s">
        <v>81</v>
      </c>
      <c r="D29" s="23">
        <v>1912</v>
      </c>
      <c r="E29" s="38">
        <v>1</v>
      </c>
      <c r="F29" s="23">
        <v>348</v>
      </c>
      <c r="G29" s="23">
        <v>58</v>
      </c>
      <c r="H29" s="23" t="s">
        <v>278</v>
      </c>
      <c r="I29" s="23"/>
      <c r="J29" s="23" t="s">
        <v>376</v>
      </c>
      <c r="K29" s="23">
        <f t="shared" si="0"/>
        <v>6</v>
      </c>
      <c r="L29" s="23">
        <f t="shared" si="1"/>
        <v>1</v>
      </c>
      <c r="M29" s="23">
        <v>0</v>
      </c>
      <c r="N29" s="24">
        <v>1</v>
      </c>
      <c r="O29" s="23">
        <v>0</v>
      </c>
      <c r="P29" s="23"/>
      <c r="Q29" s="23" t="s">
        <v>111</v>
      </c>
      <c r="R29" s="23">
        <f t="shared" si="2"/>
        <v>4</v>
      </c>
      <c r="S29" s="23" t="s">
        <v>11</v>
      </c>
      <c r="T29" s="23" t="s">
        <v>163</v>
      </c>
      <c r="U29" s="23">
        <f t="shared" si="3"/>
        <v>0</v>
      </c>
      <c r="V29" s="23">
        <v>9</v>
      </c>
      <c r="W29" s="23">
        <f t="shared" si="4"/>
        <v>3132</v>
      </c>
      <c r="X29" s="23">
        <v>6</v>
      </c>
      <c r="Y29" s="38">
        <f>Data!I58</f>
        <v>86400</v>
      </c>
      <c r="Z29" s="23" t="s">
        <v>14</v>
      </c>
      <c r="AA29" s="23">
        <f>28*24*60*60</f>
        <v>2419200</v>
      </c>
      <c r="AB29" s="23" t="str">
        <f t="shared" si="5"/>
        <v>4</v>
      </c>
      <c r="AC29" s="19">
        <f>AVERAGE(Data!I58:BN58)</f>
        <v>1080000</v>
      </c>
      <c r="AD29" s="23" t="str">
        <f t="shared" si="6"/>
        <v>4</v>
      </c>
      <c r="AE29" s="38">
        <f t="shared" si="7"/>
        <v>2332800</v>
      </c>
      <c r="AF29" s="41">
        <f>Data!I59</f>
        <v>0.92</v>
      </c>
      <c r="AG29" s="19">
        <f>((Data!J59-Data!I59)+(Data!K59-Data!J59)+(Data!L59-Data!K59)+(Data!M59-Data!L59)+(Data!N59-Data!M59))/5</f>
        <v>-2.6000000000000002E-2</v>
      </c>
    </row>
    <row r="30" spans="1:118" s="3" customFormat="1" ht="12" customHeight="1" x14ac:dyDescent="0.2">
      <c r="A30" s="27">
        <v>43902</v>
      </c>
      <c r="B30" s="1" t="s">
        <v>279</v>
      </c>
      <c r="C30" s="1" t="s">
        <v>260</v>
      </c>
      <c r="D30" s="23">
        <v>1988</v>
      </c>
      <c r="E30" s="38">
        <v>1</v>
      </c>
      <c r="F30" s="23">
        <v>26</v>
      </c>
      <c r="G30" s="23">
        <v>26</v>
      </c>
      <c r="H30" s="23" t="s">
        <v>32</v>
      </c>
      <c r="I30" s="22" t="s">
        <v>197</v>
      </c>
      <c r="J30" s="23" t="s">
        <v>202</v>
      </c>
      <c r="K30" s="23">
        <f t="shared" si="0"/>
        <v>39</v>
      </c>
      <c r="L30" s="23">
        <f t="shared" si="1"/>
        <v>6</v>
      </c>
      <c r="M30" s="23">
        <v>1</v>
      </c>
      <c r="N30" s="24">
        <v>3</v>
      </c>
      <c r="O30" s="23">
        <v>0</v>
      </c>
      <c r="P30" s="23"/>
      <c r="Q30" s="23" t="s">
        <v>106</v>
      </c>
      <c r="R30" s="23">
        <f t="shared" si="2"/>
        <v>1</v>
      </c>
      <c r="S30" s="23" t="s">
        <v>31</v>
      </c>
      <c r="T30" s="22" t="s">
        <v>342</v>
      </c>
      <c r="U30" s="23">
        <f t="shared" si="3"/>
        <v>1</v>
      </c>
      <c r="V30" s="22">
        <v>75</v>
      </c>
      <c r="W30" s="23">
        <f t="shared" si="4"/>
        <v>1950</v>
      </c>
      <c r="X30" s="23">
        <v>5</v>
      </c>
      <c r="Y30" s="38">
        <f>Data!I60</f>
        <v>94608000</v>
      </c>
      <c r="Z30" s="23" t="s">
        <v>261</v>
      </c>
      <c r="AA30" s="23">
        <f>43*365*24*60*60</f>
        <v>1356048000</v>
      </c>
      <c r="AB30" s="23" t="str">
        <f t="shared" si="5"/>
        <v>4</v>
      </c>
      <c r="AC30" s="19">
        <f>AVERAGE(Data!I60:BN60)</f>
        <v>725328000</v>
      </c>
      <c r="AD30" s="23" t="str">
        <f t="shared" si="6"/>
        <v>4</v>
      </c>
      <c r="AE30" s="38">
        <f t="shared" si="7"/>
        <v>1261440000</v>
      </c>
      <c r="AF30" s="41">
        <f>Data!I61</f>
        <v>0.57999999999999996</v>
      </c>
      <c r="AG30" s="19">
        <f>((Data!J61-Data!I61)+(Data!K61-Data!J61)+(Data!L61-Data!K61)+(Data!M61-Data!L61))/4</f>
        <v>-2.4999999999999994E-2</v>
      </c>
      <c r="DN30" s="4"/>
    </row>
    <row r="31" spans="1:118" s="3" customFormat="1" ht="12" customHeight="1" x14ac:dyDescent="0.2">
      <c r="A31" s="27">
        <v>43902</v>
      </c>
      <c r="B31" s="1" t="s">
        <v>279</v>
      </c>
      <c r="C31" s="1" t="s">
        <v>260</v>
      </c>
      <c r="D31" s="23">
        <v>1988</v>
      </c>
      <c r="E31" s="38">
        <v>1</v>
      </c>
      <c r="F31" s="23">
        <v>26</v>
      </c>
      <c r="G31" s="23">
        <v>26</v>
      </c>
      <c r="H31" s="23" t="s">
        <v>32</v>
      </c>
      <c r="I31" s="22" t="s">
        <v>197</v>
      </c>
      <c r="J31" s="23" t="s">
        <v>202</v>
      </c>
      <c r="K31" s="23">
        <f t="shared" si="0"/>
        <v>39</v>
      </c>
      <c r="L31" s="23">
        <f t="shared" si="1"/>
        <v>6</v>
      </c>
      <c r="M31" s="23">
        <v>1</v>
      </c>
      <c r="N31" s="24">
        <v>3</v>
      </c>
      <c r="O31" s="23">
        <v>0</v>
      </c>
      <c r="P31" s="23"/>
      <c r="Q31" s="23" t="s">
        <v>111</v>
      </c>
      <c r="R31" s="23">
        <f t="shared" si="2"/>
        <v>4</v>
      </c>
      <c r="S31" s="23" t="s">
        <v>11</v>
      </c>
      <c r="T31" s="22" t="s">
        <v>342</v>
      </c>
      <c r="U31" s="23">
        <f t="shared" si="3"/>
        <v>1</v>
      </c>
      <c r="V31" s="22">
        <v>75</v>
      </c>
      <c r="W31" s="23">
        <f t="shared" si="4"/>
        <v>1950</v>
      </c>
      <c r="X31" s="23">
        <v>5</v>
      </c>
      <c r="Y31" s="38">
        <f>Data!I62</f>
        <v>94608000</v>
      </c>
      <c r="Z31" s="23" t="s">
        <v>261</v>
      </c>
      <c r="AA31" s="23">
        <f>43*365*24*60*60</f>
        <v>1356048000</v>
      </c>
      <c r="AB31" s="23" t="str">
        <f t="shared" si="5"/>
        <v>4</v>
      </c>
      <c r="AC31" s="19">
        <f>AVERAGE(Data!I62:BN62)</f>
        <v>725328000</v>
      </c>
      <c r="AD31" s="23" t="str">
        <f t="shared" si="6"/>
        <v>4</v>
      </c>
      <c r="AE31" s="38">
        <f t="shared" si="7"/>
        <v>1261440000</v>
      </c>
      <c r="AF31" s="41">
        <f>Data!I63</f>
        <v>0.9</v>
      </c>
      <c r="AG31" s="19">
        <f>((Data!J63-Data!I63)+(Data!K63-Data!J63)+(Data!L63-Data!K63)+(Data!M63-Data!L63))/4</f>
        <v>-2.7499999999999997E-2</v>
      </c>
      <c r="DN31" s="4"/>
    </row>
    <row r="32" spans="1:118" s="3" customFormat="1" ht="12" customHeight="1" x14ac:dyDescent="0.2">
      <c r="A32" s="27">
        <v>43895</v>
      </c>
      <c r="B32" s="1" t="s">
        <v>203</v>
      </c>
      <c r="C32" s="1" t="s">
        <v>204</v>
      </c>
      <c r="D32" s="23">
        <v>1988</v>
      </c>
      <c r="E32" s="38">
        <v>1</v>
      </c>
      <c r="F32" s="23">
        <v>12</v>
      </c>
      <c r="G32" s="23">
        <v>12</v>
      </c>
      <c r="H32" s="23" t="s">
        <v>32</v>
      </c>
      <c r="I32" s="22" t="s">
        <v>236</v>
      </c>
      <c r="J32" s="23" t="s">
        <v>202</v>
      </c>
      <c r="K32" s="23">
        <f t="shared" si="0"/>
        <v>39</v>
      </c>
      <c r="L32" s="23">
        <f t="shared" si="1"/>
        <v>6</v>
      </c>
      <c r="M32" s="23">
        <v>1</v>
      </c>
      <c r="N32" s="22">
        <v>3</v>
      </c>
      <c r="O32" s="23">
        <v>0</v>
      </c>
      <c r="P32" s="23"/>
      <c r="Q32" s="23" t="s">
        <v>106</v>
      </c>
      <c r="R32" s="23">
        <f t="shared" si="2"/>
        <v>1</v>
      </c>
      <c r="S32" s="23" t="s">
        <v>31</v>
      </c>
      <c r="T32" s="22" t="s">
        <v>342</v>
      </c>
      <c r="U32" s="23">
        <f t="shared" si="3"/>
        <v>1</v>
      </c>
      <c r="V32" s="22">
        <v>75</v>
      </c>
      <c r="W32" s="23">
        <f t="shared" si="4"/>
        <v>900</v>
      </c>
      <c r="X32" s="23">
        <v>5</v>
      </c>
      <c r="Y32" s="38">
        <f>Data!I64</f>
        <v>157680000</v>
      </c>
      <c r="Z32" s="23" t="s">
        <v>229</v>
      </c>
      <c r="AA32" s="23">
        <f>45*365*24*60*60</f>
        <v>1419120000</v>
      </c>
      <c r="AB32" s="23" t="str">
        <f t="shared" si="5"/>
        <v>4</v>
      </c>
      <c r="AC32" s="19">
        <f>AVERAGE(Data!I64:BN64)</f>
        <v>788400000</v>
      </c>
      <c r="AD32" s="23" t="str">
        <f t="shared" si="6"/>
        <v>4</v>
      </c>
      <c r="AE32" s="38">
        <f t="shared" si="7"/>
        <v>1261440000</v>
      </c>
      <c r="AF32" s="41">
        <f>Data!I65</f>
        <v>0.59375</v>
      </c>
      <c r="AG32" s="21">
        <f>((Data!J65-Data!I65)+(Data!K65-Data!J65)+(Data!L65-Data!K65)+(Data!M65-Data!L65))/4</f>
        <v>-3.43750000000001E-3</v>
      </c>
    </row>
    <row r="33" spans="1:118" s="3" customFormat="1" ht="12" customHeight="1" x14ac:dyDescent="0.2">
      <c r="A33" s="27">
        <v>43895</v>
      </c>
      <c r="B33" s="1" t="s">
        <v>203</v>
      </c>
      <c r="C33" s="1" t="s">
        <v>204</v>
      </c>
      <c r="D33" s="23">
        <v>1988</v>
      </c>
      <c r="E33" s="38">
        <v>1</v>
      </c>
      <c r="F33" s="23">
        <v>12</v>
      </c>
      <c r="G33" s="23">
        <v>12</v>
      </c>
      <c r="H33" s="23" t="s">
        <v>32</v>
      </c>
      <c r="I33" s="22" t="s">
        <v>377</v>
      </c>
      <c r="J33" s="23" t="s">
        <v>202</v>
      </c>
      <c r="K33" s="23">
        <f t="shared" si="0"/>
        <v>39</v>
      </c>
      <c r="L33" s="23">
        <f t="shared" si="1"/>
        <v>6</v>
      </c>
      <c r="M33" s="23">
        <v>1</v>
      </c>
      <c r="N33" s="22">
        <v>3</v>
      </c>
      <c r="O33" s="23">
        <v>0</v>
      </c>
      <c r="P33" s="23"/>
      <c r="Q33" s="23" t="s">
        <v>106</v>
      </c>
      <c r="R33" s="23">
        <f t="shared" si="2"/>
        <v>1</v>
      </c>
      <c r="S33" s="23" t="s">
        <v>31</v>
      </c>
      <c r="T33" s="22" t="s">
        <v>342</v>
      </c>
      <c r="U33" s="23">
        <f t="shared" si="3"/>
        <v>1</v>
      </c>
      <c r="V33" s="22">
        <v>75</v>
      </c>
      <c r="W33" s="23">
        <f t="shared" si="4"/>
        <v>900</v>
      </c>
      <c r="X33" s="23">
        <v>5</v>
      </c>
      <c r="Y33" s="38">
        <f>Data!I66</f>
        <v>157680000</v>
      </c>
      <c r="Z33" s="23" t="s">
        <v>229</v>
      </c>
      <c r="AA33" s="23">
        <f>45*365*24*60*60</f>
        <v>1419120000</v>
      </c>
      <c r="AB33" s="23" t="str">
        <f t="shared" si="5"/>
        <v>4</v>
      </c>
      <c r="AC33" s="19">
        <f>AVERAGE(Data!I66:BN66)</f>
        <v>788400000</v>
      </c>
      <c r="AD33" s="23" t="str">
        <f t="shared" si="6"/>
        <v>4</v>
      </c>
      <c r="AE33" s="38">
        <f t="shared" si="7"/>
        <v>1261440000</v>
      </c>
      <c r="AF33" s="41">
        <f>Data!I67</f>
        <v>0.66</v>
      </c>
      <c r="AG33" s="19">
        <f>((Data!J67-Data!I67)+(Data!K67-Data!J67)+(Data!L67-Data!K67)+(Data!M67-Data!L67))/4</f>
        <v>-1.5000000000000013E-2</v>
      </c>
    </row>
    <row r="34" spans="1:118" s="3" customFormat="1" ht="12" customHeight="1" x14ac:dyDescent="0.2">
      <c r="A34" s="27">
        <v>43895</v>
      </c>
      <c r="B34" s="1" t="s">
        <v>203</v>
      </c>
      <c r="C34" s="1" t="s">
        <v>204</v>
      </c>
      <c r="D34" s="23">
        <v>1988</v>
      </c>
      <c r="E34" s="38">
        <v>1</v>
      </c>
      <c r="F34" s="23">
        <v>12</v>
      </c>
      <c r="G34" s="23">
        <v>12</v>
      </c>
      <c r="H34" s="23" t="s">
        <v>25</v>
      </c>
      <c r="I34" s="22" t="s">
        <v>377</v>
      </c>
      <c r="J34" s="23" t="s">
        <v>202</v>
      </c>
      <c r="K34" s="23">
        <f t="shared" si="0"/>
        <v>39</v>
      </c>
      <c r="L34" s="23">
        <f t="shared" si="1"/>
        <v>6</v>
      </c>
      <c r="M34" s="23">
        <v>1</v>
      </c>
      <c r="N34" s="22">
        <v>3</v>
      </c>
      <c r="O34" s="23">
        <v>0</v>
      </c>
      <c r="P34" s="23"/>
      <c r="Q34" s="23" t="s">
        <v>45</v>
      </c>
      <c r="R34" s="23">
        <f t="shared" si="2"/>
        <v>2</v>
      </c>
      <c r="S34" s="23" t="s">
        <v>31</v>
      </c>
      <c r="T34" s="22" t="s">
        <v>342</v>
      </c>
      <c r="U34" s="23">
        <f t="shared" si="3"/>
        <v>1</v>
      </c>
      <c r="V34" s="22">
        <v>75</v>
      </c>
      <c r="W34" s="23">
        <f t="shared" si="4"/>
        <v>900</v>
      </c>
      <c r="X34" s="23">
        <v>5</v>
      </c>
      <c r="Y34" s="38">
        <f>Data!I68</f>
        <v>157680000</v>
      </c>
      <c r="Z34" s="23" t="s">
        <v>229</v>
      </c>
      <c r="AA34" s="23">
        <f>45*365*24*60*60</f>
        <v>1419120000</v>
      </c>
      <c r="AB34" s="23" t="str">
        <f t="shared" si="5"/>
        <v>4</v>
      </c>
      <c r="AC34" s="19">
        <f>AVERAGE(Data!I68:BN68)</f>
        <v>788400000</v>
      </c>
      <c r="AD34" s="23" t="str">
        <f t="shared" si="6"/>
        <v>4</v>
      </c>
      <c r="AE34" s="38">
        <f t="shared" si="7"/>
        <v>1261440000</v>
      </c>
      <c r="AF34" s="41">
        <f>Data!I69</f>
        <v>0.77</v>
      </c>
      <c r="AG34" s="19">
        <f>((Data!J69-Data!I69)+(Data!K69-Data!J69)+(Data!L69-Data!K69)+(Data!M69-Data!L69))/4</f>
        <v>-1.7500000000000016E-2</v>
      </c>
      <c r="DN34" s="4"/>
    </row>
    <row r="35" spans="1:118" s="3" customFormat="1" ht="12" customHeight="1" x14ac:dyDescent="0.2">
      <c r="A35" s="27">
        <v>43509</v>
      </c>
      <c r="B35" s="52" t="s">
        <v>162</v>
      </c>
      <c r="C35" s="52" t="s">
        <v>50</v>
      </c>
      <c r="D35" s="51">
        <v>1974</v>
      </c>
      <c r="E35" s="57">
        <v>1</v>
      </c>
      <c r="F35" s="51">
        <v>7</v>
      </c>
      <c r="G35" s="51">
        <v>7</v>
      </c>
      <c r="H35" s="51" t="s">
        <v>20</v>
      </c>
      <c r="I35" s="51" t="s">
        <v>529</v>
      </c>
      <c r="J35" s="51" t="s">
        <v>292</v>
      </c>
      <c r="K35" s="31">
        <f t="shared" si="0"/>
        <v>32</v>
      </c>
      <c r="L35" s="31">
        <f t="shared" si="1"/>
        <v>5</v>
      </c>
      <c r="M35" s="51">
        <v>0</v>
      </c>
      <c r="N35" s="51">
        <v>2</v>
      </c>
      <c r="O35" s="51">
        <v>0</v>
      </c>
      <c r="P35" s="51"/>
      <c r="Q35" s="51" t="s">
        <v>23</v>
      </c>
      <c r="R35" s="31">
        <f t="shared" si="2"/>
        <v>3</v>
      </c>
      <c r="S35" s="31" t="s">
        <v>11</v>
      </c>
      <c r="T35" s="46" t="s">
        <v>342</v>
      </c>
      <c r="U35" s="31">
        <f t="shared" si="3"/>
        <v>1</v>
      </c>
      <c r="V35" s="46">
        <v>900</v>
      </c>
      <c r="W35" s="31">
        <f t="shared" si="4"/>
        <v>6300</v>
      </c>
      <c r="X35" s="51">
        <v>15</v>
      </c>
      <c r="Y35" s="44">
        <f>Data!I70</f>
        <v>0.5</v>
      </c>
      <c r="Z35" s="51" t="s">
        <v>51</v>
      </c>
      <c r="AA35" s="51">
        <v>7200</v>
      </c>
      <c r="AB35" s="31" t="str">
        <f t="shared" si="5"/>
        <v>2</v>
      </c>
      <c r="AC35" s="34">
        <f>AVERAGE(Data!I70:BN70)</f>
        <v>930.5333333333333</v>
      </c>
      <c r="AD35" s="31" t="str">
        <f t="shared" si="6"/>
        <v>2</v>
      </c>
      <c r="AE35" s="44">
        <f t="shared" si="7"/>
        <v>7199.5</v>
      </c>
      <c r="AF35" s="45">
        <f>Data!I71</f>
        <v>0.91</v>
      </c>
      <c r="AG35" s="34">
        <f>((Data!J71-Data!I71)+(Data!K71-Data!J71)+(Data!L71-Data!K71)+(Data!M71-Data!L71)+(Data!N71-Data!M71)+(Data!O71-Data!N71)+(Data!P71-Data!O71)+(Data!Q71-Data!P71)+(Data!R71-Data!Q71)+(Data!S71-Data!R71)+(Data!T71-Data!S71)+(Data!U71-Data!T71)+(Data!V71-Data!U71)+(Data!W71-Data!V71))/14</f>
        <v>-2.1428571428571425E-2</v>
      </c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</row>
    <row r="36" spans="1:118" s="3" customFormat="1" ht="12" customHeight="1" x14ac:dyDescent="0.2">
      <c r="A36" s="27">
        <v>43509</v>
      </c>
      <c r="B36" s="32" t="s">
        <v>151</v>
      </c>
      <c r="C36" s="32" t="s">
        <v>15</v>
      </c>
      <c r="D36" s="31">
        <v>1968</v>
      </c>
      <c r="E36" s="44">
        <v>1</v>
      </c>
      <c r="F36" s="31">
        <v>92</v>
      </c>
      <c r="G36" s="31">
        <v>92</v>
      </c>
      <c r="H36" s="31" t="s">
        <v>32</v>
      </c>
      <c r="I36" s="31" t="s">
        <v>378</v>
      </c>
      <c r="J36" s="31" t="s">
        <v>12</v>
      </c>
      <c r="K36" s="31">
        <f t="shared" si="0"/>
        <v>9</v>
      </c>
      <c r="L36" s="31">
        <f t="shared" si="1"/>
        <v>2</v>
      </c>
      <c r="M36" s="31">
        <v>0</v>
      </c>
      <c r="N36" s="31">
        <v>1</v>
      </c>
      <c r="O36" s="31">
        <v>0</v>
      </c>
      <c r="P36" s="31"/>
      <c r="Q36" s="31" t="s">
        <v>45</v>
      </c>
      <c r="R36" s="31">
        <f t="shared" si="2"/>
        <v>2</v>
      </c>
      <c r="S36" s="31" t="s">
        <v>11</v>
      </c>
      <c r="T36" s="46" t="s">
        <v>342</v>
      </c>
      <c r="U36" s="31">
        <f t="shared" si="3"/>
        <v>1</v>
      </c>
      <c r="V36" s="46">
        <v>32</v>
      </c>
      <c r="W36" s="31">
        <f t="shared" si="4"/>
        <v>2944</v>
      </c>
      <c r="X36" s="31">
        <v>8</v>
      </c>
      <c r="Y36" s="44">
        <f>Data!I72</f>
        <v>3</v>
      </c>
      <c r="Z36" s="31" t="s">
        <v>39</v>
      </c>
      <c r="AA36" s="31">
        <v>288</v>
      </c>
      <c r="AB36" s="31" t="str">
        <f t="shared" si="5"/>
        <v>2</v>
      </c>
      <c r="AC36" s="34">
        <f>AVERAGE(Data!I72:BN72)</f>
        <v>72</v>
      </c>
      <c r="AD36" s="31" t="str">
        <f t="shared" si="6"/>
        <v>2</v>
      </c>
      <c r="AE36" s="44">
        <f t="shared" si="7"/>
        <v>285</v>
      </c>
      <c r="AF36" s="45">
        <f>Data!I73</f>
        <v>0.78582128099173498</v>
      </c>
      <c r="AG36" s="34">
        <f>((Data!J73-Data!I73)+(Data!K73-Data!J73)+(Data!L73-Data!K73)+(Data!M73-Data!L73)+(Data!N73-Data!M73)+(Data!O73-Data!N73)+(Data!P73-Data!O73))/7</f>
        <v>-0.10868967680047217</v>
      </c>
    </row>
    <row r="37" spans="1:118" s="3" customFormat="1" ht="12" customHeight="1" x14ac:dyDescent="0.2">
      <c r="A37" s="27">
        <v>43509</v>
      </c>
      <c r="B37" s="32" t="s">
        <v>151</v>
      </c>
      <c r="C37" s="32" t="s">
        <v>15</v>
      </c>
      <c r="D37" s="31">
        <v>1968</v>
      </c>
      <c r="E37" s="44">
        <v>1</v>
      </c>
      <c r="F37" s="31">
        <v>92</v>
      </c>
      <c r="G37" s="31">
        <v>92</v>
      </c>
      <c r="H37" s="31" t="s">
        <v>32</v>
      </c>
      <c r="I37" s="31" t="s">
        <v>379</v>
      </c>
      <c r="J37" s="31" t="s">
        <v>12</v>
      </c>
      <c r="K37" s="31">
        <f t="shared" si="0"/>
        <v>9</v>
      </c>
      <c r="L37" s="31">
        <f t="shared" si="1"/>
        <v>2</v>
      </c>
      <c r="M37" s="31">
        <v>0</v>
      </c>
      <c r="N37" s="31">
        <v>1</v>
      </c>
      <c r="O37" s="31">
        <v>0</v>
      </c>
      <c r="P37" s="31"/>
      <c r="Q37" s="31" t="s">
        <v>45</v>
      </c>
      <c r="R37" s="31">
        <f t="shared" si="2"/>
        <v>2</v>
      </c>
      <c r="S37" s="31" t="s">
        <v>11</v>
      </c>
      <c r="T37" s="46" t="s">
        <v>342</v>
      </c>
      <c r="U37" s="31">
        <f t="shared" si="3"/>
        <v>1</v>
      </c>
      <c r="V37" s="46">
        <v>32</v>
      </c>
      <c r="W37" s="31">
        <f t="shared" si="4"/>
        <v>2944</v>
      </c>
      <c r="X37" s="31">
        <v>8</v>
      </c>
      <c r="Y37" s="44">
        <f>Data!I74</f>
        <v>3</v>
      </c>
      <c r="Z37" s="31" t="s">
        <v>39</v>
      </c>
      <c r="AA37" s="31">
        <v>288</v>
      </c>
      <c r="AB37" s="31" t="str">
        <f t="shared" si="5"/>
        <v>2</v>
      </c>
      <c r="AC37" s="34">
        <f>AVERAGE(Data!I74:BN74)</f>
        <v>72</v>
      </c>
      <c r="AD37" s="31" t="str">
        <f t="shared" si="6"/>
        <v>2</v>
      </c>
      <c r="AE37" s="44">
        <f t="shared" si="7"/>
        <v>285</v>
      </c>
      <c r="AF37" s="45">
        <f>Data!I75</f>
        <v>0.74548037190082606</v>
      </c>
      <c r="AG37" s="34">
        <f>((Data!J75-Data!I75)+(Data!K75-Data!J75)+(Data!L75-Data!K75)+(Data!M75-Data!L75)+(Data!N75-Data!M75)+(Data!O75-Data!N75)+(Data!P75-Data!O75))/7</f>
        <v>-8.5435729043683573E-2</v>
      </c>
    </row>
    <row r="38" spans="1:118" s="3" customFormat="1" ht="12" customHeight="1" x14ac:dyDescent="0.2">
      <c r="A38" s="27">
        <v>43509</v>
      </c>
      <c r="B38" s="32" t="s">
        <v>151</v>
      </c>
      <c r="C38" s="32" t="s">
        <v>15</v>
      </c>
      <c r="D38" s="31">
        <v>1968</v>
      </c>
      <c r="E38" s="44">
        <v>1</v>
      </c>
      <c r="F38" s="31">
        <v>92</v>
      </c>
      <c r="G38" s="31">
        <v>92</v>
      </c>
      <c r="H38" s="31" t="s">
        <v>32</v>
      </c>
      <c r="I38" s="31" t="s">
        <v>380</v>
      </c>
      <c r="J38" s="31" t="s">
        <v>12</v>
      </c>
      <c r="K38" s="31">
        <f t="shared" si="0"/>
        <v>9</v>
      </c>
      <c r="L38" s="31">
        <f t="shared" si="1"/>
        <v>2</v>
      </c>
      <c r="M38" s="31">
        <v>0</v>
      </c>
      <c r="N38" s="31">
        <v>1</v>
      </c>
      <c r="O38" s="31">
        <v>0</v>
      </c>
      <c r="P38" s="31"/>
      <c r="Q38" s="31" t="s">
        <v>45</v>
      </c>
      <c r="R38" s="31">
        <f t="shared" si="2"/>
        <v>2</v>
      </c>
      <c r="S38" s="31" t="s">
        <v>11</v>
      </c>
      <c r="T38" s="46" t="s">
        <v>342</v>
      </c>
      <c r="U38" s="31">
        <f t="shared" si="3"/>
        <v>1</v>
      </c>
      <c r="V38" s="46">
        <v>32</v>
      </c>
      <c r="W38" s="31">
        <f t="shared" si="4"/>
        <v>2944</v>
      </c>
      <c r="X38" s="31">
        <v>8</v>
      </c>
      <c r="Y38" s="44">
        <f>Data!I76</f>
        <v>3</v>
      </c>
      <c r="Z38" s="31" t="s">
        <v>39</v>
      </c>
      <c r="AA38" s="31">
        <v>288</v>
      </c>
      <c r="AB38" s="31" t="str">
        <f t="shared" si="5"/>
        <v>2</v>
      </c>
      <c r="AC38" s="34">
        <f>AVERAGE(Data!I76:BN76)</f>
        <v>72</v>
      </c>
      <c r="AD38" s="31" t="str">
        <f t="shared" si="6"/>
        <v>2</v>
      </c>
      <c r="AE38" s="44">
        <f t="shared" si="7"/>
        <v>285</v>
      </c>
      <c r="AF38" s="45">
        <f>Data!I77</f>
        <v>0.76833032024793302</v>
      </c>
      <c r="AG38" s="34">
        <f>((Data!J77-Data!I77)+(Data!K77-Data!J77)+(Data!L77-Data!K77)+(Data!M77-Data!L77)+(Data!N77-Data!M77)+(Data!O77-Data!N77)+(Data!P77-Data!O77))/7</f>
        <v>-9.9752804014167529E-2</v>
      </c>
    </row>
    <row r="39" spans="1:118" s="3" customFormat="1" ht="12" customHeight="1" x14ac:dyDescent="0.2">
      <c r="A39" s="27">
        <v>43509</v>
      </c>
      <c r="B39" s="32" t="s">
        <v>151</v>
      </c>
      <c r="C39" s="32" t="s">
        <v>15</v>
      </c>
      <c r="D39" s="31">
        <v>1968</v>
      </c>
      <c r="E39" s="44">
        <v>1</v>
      </c>
      <c r="F39" s="31">
        <v>92</v>
      </c>
      <c r="G39" s="31">
        <v>92</v>
      </c>
      <c r="H39" s="31" t="s">
        <v>32</v>
      </c>
      <c r="I39" s="31" t="s">
        <v>381</v>
      </c>
      <c r="J39" s="31" t="s">
        <v>12</v>
      </c>
      <c r="K39" s="31">
        <f t="shared" si="0"/>
        <v>9</v>
      </c>
      <c r="L39" s="31">
        <f t="shared" si="1"/>
        <v>2</v>
      </c>
      <c r="M39" s="31">
        <v>0</v>
      </c>
      <c r="N39" s="31">
        <v>1</v>
      </c>
      <c r="O39" s="31">
        <v>0</v>
      </c>
      <c r="P39" s="31"/>
      <c r="Q39" s="31" t="s">
        <v>45</v>
      </c>
      <c r="R39" s="31">
        <f t="shared" si="2"/>
        <v>2</v>
      </c>
      <c r="S39" s="31" t="s">
        <v>11</v>
      </c>
      <c r="T39" s="46" t="s">
        <v>342</v>
      </c>
      <c r="U39" s="31">
        <f t="shared" si="3"/>
        <v>1</v>
      </c>
      <c r="V39" s="46">
        <v>32</v>
      </c>
      <c r="W39" s="31">
        <f t="shared" si="4"/>
        <v>2944</v>
      </c>
      <c r="X39" s="31">
        <v>8</v>
      </c>
      <c r="Y39" s="44">
        <f>Data!I78</f>
        <v>3</v>
      </c>
      <c r="Z39" s="31" t="s">
        <v>39</v>
      </c>
      <c r="AA39" s="31">
        <v>288</v>
      </c>
      <c r="AB39" s="31" t="str">
        <f t="shared" si="5"/>
        <v>2</v>
      </c>
      <c r="AC39" s="34">
        <f>AVERAGE(Data!I78:BN78)</f>
        <v>72</v>
      </c>
      <c r="AD39" s="31" t="str">
        <f t="shared" si="6"/>
        <v>2</v>
      </c>
      <c r="AE39" s="44">
        <f t="shared" si="7"/>
        <v>285</v>
      </c>
      <c r="AF39" s="45">
        <f>Data!I79</f>
        <v>0.805449380165289</v>
      </c>
      <c r="AG39" s="34">
        <f>((Data!J79-Data!I79)+(Data!K79-Data!J79)+(Data!L79-Data!K79)+(Data!M79-Data!L79)+(Data!N79-Data!M79)+(Data!O79-Data!N79)+(Data!P79-Data!O79))/7</f>
        <v>-8.2937020365997718E-2</v>
      </c>
      <c r="DN39" s="9"/>
    </row>
    <row r="40" spans="1:118" s="3" customFormat="1" ht="12" customHeight="1" x14ac:dyDescent="0.2">
      <c r="A40" s="27">
        <v>43509</v>
      </c>
      <c r="B40" s="32" t="s">
        <v>151</v>
      </c>
      <c r="C40" s="32" t="s">
        <v>15</v>
      </c>
      <c r="D40" s="31">
        <v>1968</v>
      </c>
      <c r="E40" s="44">
        <v>2</v>
      </c>
      <c r="F40" s="31">
        <v>100</v>
      </c>
      <c r="G40" s="31">
        <v>100</v>
      </c>
      <c r="H40" s="31" t="s">
        <v>32</v>
      </c>
      <c r="I40" s="31" t="s">
        <v>382</v>
      </c>
      <c r="J40" s="31" t="s">
        <v>12</v>
      </c>
      <c r="K40" s="31">
        <f t="shared" si="0"/>
        <v>9</v>
      </c>
      <c r="L40" s="31">
        <f t="shared" si="1"/>
        <v>2</v>
      </c>
      <c r="M40" s="31">
        <v>0</v>
      </c>
      <c r="N40" s="31">
        <v>1</v>
      </c>
      <c r="O40" s="31">
        <v>0</v>
      </c>
      <c r="P40" s="31"/>
      <c r="Q40" s="31" t="s">
        <v>45</v>
      </c>
      <c r="R40" s="31">
        <f t="shared" si="2"/>
        <v>2</v>
      </c>
      <c r="S40" s="31" t="s">
        <v>11</v>
      </c>
      <c r="T40" s="46" t="s">
        <v>342</v>
      </c>
      <c r="U40" s="31">
        <f t="shared" si="3"/>
        <v>1</v>
      </c>
      <c r="V40" s="46">
        <v>32</v>
      </c>
      <c r="W40" s="31">
        <f t="shared" si="4"/>
        <v>3200</v>
      </c>
      <c r="X40" s="31">
        <v>8</v>
      </c>
      <c r="Y40" s="44">
        <f>Data!I80</f>
        <v>3</v>
      </c>
      <c r="Z40" s="31" t="s">
        <v>39</v>
      </c>
      <c r="AA40" s="31">
        <v>288</v>
      </c>
      <c r="AB40" s="31" t="str">
        <f t="shared" si="5"/>
        <v>2</v>
      </c>
      <c r="AC40" s="34">
        <f>AVERAGE(Data!I80:BN80)</f>
        <v>72</v>
      </c>
      <c r="AD40" s="31" t="str">
        <f t="shared" si="6"/>
        <v>2</v>
      </c>
      <c r="AE40" s="44">
        <f t="shared" si="7"/>
        <v>285</v>
      </c>
      <c r="AF40" s="45">
        <f>Data!I81</f>
        <v>0.78</v>
      </c>
      <c r="AG40" s="34">
        <f>((Data!J81-Data!I81)+(Data!K81-Data!J81)+(Data!L81-Data!K81)+(Data!M81-Data!L81)+(Data!N81-Data!M81)+(Data!O81-Data!N81)+(Data!P81-Data!O81))/7</f>
        <v>-0.10797746494594519</v>
      </c>
    </row>
    <row r="41" spans="1:118" s="3" customFormat="1" ht="12" customHeight="1" x14ac:dyDescent="0.2">
      <c r="A41" s="27">
        <v>43509</v>
      </c>
      <c r="B41" s="32" t="s">
        <v>151</v>
      </c>
      <c r="C41" s="32" t="s">
        <v>15</v>
      </c>
      <c r="D41" s="31">
        <v>1968</v>
      </c>
      <c r="E41" s="44">
        <v>2</v>
      </c>
      <c r="F41" s="31">
        <v>100</v>
      </c>
      <c r="G41" s="31">
        <v>100</v>
      </c>
      <c r="H41" s="31" t="s">
        <v>32</v>
      </c>
      <c r="I41" s="31" t="s">
        <v>383</v>
      </c>
      <c r="J41" s="31" t="s">
        <v>12</v>
      </c>
      <c r="K41" s="31">
        <f t="shared" si="0"/>
        <v>9</v>
      </c>
      <c r="L41" s="31">
        <f t="shared" si="1"/>
        <v>2</v>
      </c>
      <c r="M41" s="31">
        <v>0</v>
      </c>
      <c r="N41" s="31">
        <v>1</v>
      </c>
      <c r="O41" s="31">
        <v>0</v>
      </c>
      <c r="P41" s="31"/>
      <c r="Q41" s="31" t="s">
        <v>45</v>
      </c>
      <c r="R41" s="31">
        <f t="shared" si="2"/>
        <v>2</v>
      </c>
      <c r="S41" s="31" t="s">
        <v>11</v>
      </c>
      <c r="T41" s="46" t="s">
        <v>342</v>
      </c>
      <c r="U41" s="31">
        <f t="shared" si="3"/>
        <v>1</v>
      </c>
      <c r="V41" s="46">
        <v>32</v>
      </c>
      <c r="W41" s="31">
        <f t="shared" si="4"/>
        <v>3200</v>
      </c>
      <c r="X41" s="31">
        <v>8</v>
      </c>
      <c r="Y41" s="44">
        <f>Data!I82</f>
        <v>3</v>
      </c>
      <c r="Z41" s="31" t="s">
        <v>39</v>
      </c>
      <c r="AA41" s="31">
        <v>288</v>
      </c>
      <c r="AB41" s="31" t="str">
        <f t="shared" si="5"/>
        <v>2</v>
      </c>
      <c r="AC41" s="34">
        <f>AVERAGE(Data!I82:BN82)</f>
        <v>72</v>
      </c>
      <c r="AD41" s="31" t="str">
        <f t="shared" si="6"/>
        <v>2</v>
      </c>
      <c r="AE41" s="44">
        <f t="shared" si="7"/>
        <v>285</v>
      </c>
      <c r="AF41" s="45">
        <f>Data!I83</f>
        <v>0.85316744168380398</v>
      </c>
      <c r="AG41" s="34">
        <f>((Data!J83-Data!I83)+(Data!K83-Data!J83)+(Data!L83-Data!K83)+(Data!M83-Data!L83)+(Data!N83-Data!M83)+(Data!O83-Data!N83)+(Data!P83-Data!O83))/7</f>
        <v>-0.104086648957157</v>
      </c>
    </row>
    <row r="42" spans="1:118" s="3" customFormat="1" ht="12" customHeight="1" x14ac:dyDescent="0.2">
      <c r="A42" s="27">
        <v>43509</v>
      </c>
      <c r="B42" s="32" t="s">
        <v>151</v>
      </c>
      <c r="C42" s="32" t="s">
        <v>15</v>
      </c>
      <c r="D42" s="31">
        <v>1968</v>
      </c>
      <c r="E42" s="44">
        <v>2</v>
      </c>
      <c r="F42" s="31">
        <v>100</v>
      </c>
      <c r="G42" s="31">
        <v>100</v>
      </c>
      <c r="H42" s="31" t="s">
        <v>32</v>
      </c>
      <c r="I42" s="31" t="s">
        <v>384</v>
      </c>
      <c r="J42" s="31" t="s">
        <v>12</v>
      </c>
      <c r="K42" s="31">
        <f t="shared" si="0"/>
        <v>9</v>
      </c>
      <c r="L42" s="31">
        <f t="shared" si="1"/>
        <v>2</v>
      </c>
      <c r="M42" s="31">
        <v>0</v>
      </c>
      <c r="N42" s="31">
        <v>1</v>
      </c>
      <c r="O42" s="31">
        <v>0</v>
      </c>
      <c r="P42" s="31"/>
      <c r="Q42" s="31" t="s">
        <v>45</v>
      </c>
      <c r="R42" s="31">
        <f t="shared" si="2"/>
        <v>2</v>
      </c>
      <c r="S42" s="31" t="s">
        <v>11</v>
      </c>
      <c r="T42" s="46" t="s">
        <v>342</v>
      </c>
      <c r="U42" s="31">
        <f t="shared" si="3"/>
        <v>1</v>
      </c>
      <c r="V42" s="46">
        <v>32</v>
      </c>
      <c r="W42" s="31">
        <f t="shared" si="4"/>
        <v>3200</v>
      </c>
      <c r="X42" s="31">
        <v>8</v>
      </c>
      <c r="Y42" s="44">
        <f>Data!I84</f>
        <v>3</v>
      </c>
      <c r="Z42" s="31" t="s">
        <v>39</v>
      </c>
      <c r="AA42" s="31">
        <v>288</v>
      </c>
      <c r="AB42" s="31" t="str">
        <f t="shared" si="5"/>
        <v>2</v>
      </c>
      <c r="AC42" s="34">
        <f>AVERAGE(Data!I84:BN84)</f>
        <v>72</v>
      </c>
      <c r="AD42" s="31" t="str">
        <f t="shared" si="6"/>
        <v>2</v>
      </c>
      <c r="AE42" s="44">
        <f t="shared" si="7"/>
        <v>285</v>
      </c>
      <c r="AF42" s="45">
        <f>Data!I85</f>
        <v>0.923540806415731</v>
      </c>
      <c r="AG42" s="34">
        <f>((Data!J85-Data!I85)+(Data!K85-Data!J85)+(Data!L85-Data!K85)+(Data!M85-Data!L85)+(Data!N85-Data!M85)+(Data!O85-Data!N85)+(Data!P85-Data!O85))/7</f>
        <v>-0.11127132524442299</v>
      </c>
    </row>
    <row r="43" spans="1:118" s="3" customFormat="1" ht="12" customHeight="1" x14ac:dyDescent="0.2">
      <c r="A43" s="27">
        <v>43509</v>
      </c>
      <c r="B43" s="32" t="s">
        <v>151</v>
      </c>
      <c r="C43" s="32" t="s">
        <v>15</v>
      </c>
      <c r="D43" s="31">
        <v>1968</v>
      </c>
      <c r="E43" s="44">
        <v>2</v>
      </c>
      <c r="F43" s="31">
        <v>100</v>
      </c>
      <c r="G43" s="31">
        <v>100</v>
      </c>
      <c r="H43" s="31" t="s">
        <v>32</v>
      </c>
      <c r="I43" s="31" t="s">
        <v>385</v>
      </c>
      <c r="J43" s="31" t="s">
        <v>12</v>
      </c>
      <c r="K43" s="31">
        <f t="shared" si="0"/>
        <v>9</v>
      </c>
      <c r="L43" s="31">
        <f t="shared" si="1"/>
        <v>2</v>
      </c>
      <c r="M43" s="31">
        <v>0</v>
      </c>
      <c r="N43" s="31">
        <v>1</v>
      </c>
      <c r="O43" s="31">
        <v>0</v>
      </c>
      <c r="P43" s="31"/>
      <c r="Q43" s="31" t="s">
        <v>45</v>
      </c>
      <c r="R43" s="31">
        <f t="shared" si="2"/>
        <v>2</v>
      </c>
      <c r="S43" s="31" t="s">
        <v>11</v>
      </c>
      <c r="T43" s="46" t="s">
        <v>342</v>
      </c>
      <c r="U43" s="31">
        <f t="shared" si="3"/>
        <v>1</v>
      </c>
      <c r="V43" s="46">
        <v>32</v>
      </c>
      <c r="W43" s="31">
        <f t="shared" si="4"/>
        <v>3200</v>
      </c>
      <c r="X43" s="31">
        <v>8</v>
      </c>
      <c r="Y43" s="44">
        <f>Data!I86</f>
        <v>3</v>
      </c>
      <c r="Z43" s="31" t="s">
        <v>39</v>
      </c>
      <c r="AA43" s="31">
        <v>288</v>
      </c>
      <c r="AB43" s="31" t="str">
        <f t="shared" si="5"/>
        <v>2</v>
      </c>
      <c r="AC43" s="34">
        <f>AVERAGE(Data!I86:BN86)</f>
        <v>72</v>
      </c>
      <c r="AD43" s="31" t="str">
        <f t="shared" si="6"/>
        <v>2</v>
      </c>
      <c r="AE43" s="44">
        <f t="shared" si="7"/>
        <v>285</v>
      </c>
      <c r="AF43" s="45">
        <f>Data!I87</f>
        <v>0.88077830892526698</v>
      </c>
      <c r="AG43" s="34">
        <f>((Data!J87-Data!I87)+(Data!K87-Data!J87)+(Data!L87-Data!K87)+(Data!M87-Data!L87)+(Data!N87-Data!M87)+(Data!O87-Data!N87)+(Data!P87-Data!O87))/7</f>
        <v>-0.10050082204268114</v>
      </c>
    </row>
    <row r="44" spans="1:118" s="3" customFormat="1" ht="12" customHeight="1" x14ac:dyDescent="0.2">
      <c r="A44" s="27">
        <v>43951</v>
      </c>
      <c r="B44" s="1" t="s">
        <v>478</v>
      </c>
      <c r="C44" s="1" t="s">
        <v>15</v>
      </c>
      <c r="D44" s="23">
        <v>1954</v>
      </c>
      <c r="E44" s="38">
        <v>1</v>
      </c>
      <c r="F44" s="23">
        <v>125</v>
      </c>
      <c r="G44" s="23">
        <v>25</v>
      </c>
      <c r="H44" s="23" t="s">
        <v>17</v>
      </c>
      <c r="I44" s="23" t="s">
        <v>481</v>
      </c>
      <c r="J44" s="23" t="s">
        <v>190</v>
      </c>
      <c r="K44" s="23">
        <f t="shared" si="0"/>
        <v>21</v>
      </c>
      <c r="L44" s="23">
        <f t="shared" si="1"/>
        <v>4</v>
      </c>
      <c r="M44" s="23">
        <v>1</v>
      </c>
      <c r="N44" s="23">
        <v>2</v>
      </c>
      <c r="O44" s="23">
        <v>0</v>
      </c>
      <c r="P44" s="23"/>
      <c r="Q44" s="23" t="s">
        <v>45</v>
      </c>
      <c r="R44" s="23">
        <f t="shared" si="2"/>
        <v>2</v>
      </c>
      <c r="S44" s="23" t="s">
        <v>11</v>
      </c>
      <c r="T44" s="22" t="s">
        <v>163</v>
      </c>
      <c r="U44" s="23">
        <f t="shared" si="3"/>
        <v>0</v>
      </c>
      <c r="V44" s="22">
        <v>12</v>
      </c>
      <c r="W44" s="23">
        <f t="shared" si="4"/>
        <v>1500</v>
      </c>
      <c r="X44" s="23">
        <v>5</v>
      </c>
      <c r="Y44" s="38">
        <f>4*60</f>
        <v>240</v>
      </c>
      <c r="Z44" s="23" t="s">
        <v>480</v>
      </c>
      <c r="AA44" s="23">
        <f>60*60*72</f>
        <v>259200</v>
      </c>
      <c r="AB44" s="23" t="str">
        <f t="shared" si="5"/>
        <v>3</v>
      </c>
      <c r="AC44" s="19">
        <f>AVERAGE(Data!I88:BN88)</f>
        <v>108048</v>
      </c>
      <c r="AD44" s="23" t="str">
        <f t="shared" si="6"/>
        <v>3</v>
      </c>
      <c r="AE44" s="38">
        <f t="shared" si="7"/>
        <v>258960</v>
      </c>
      <c r="AF44" s="41">
        <f>Data!I89</f>
        <v>0.68333333333333324</v>
      </c>
      <c r="AG44" s="19">
        <f>((Data!J89-Data!I89)+(Data!K89-Data!J89)+(Data!L89-Data!K89)+(Data!M89-Data!L89))/4</f>
        <v>-9.1666666666666646E-2</v>
      </c>
      <c r="DN44" s="4"/>
    </row>
    <row r="45" spans="1:118" s="3" customFormat="1" ht="12" customHeight="1" x14ac:dyDescent="0.2">
      <c r="A45" s="27">
        <v>43648</v>
      </c>
      <c r="B45" s="32" t="s">
        <v>191</v>
      </c>
      <c r="C45" s="32" t="s">
        <v>185</v>
      </c>
      <c r="D45" s="31">
        <v>1992</v>
      </c>
      <c r="E45" s="44">
        <v>1</v>
      </c>
      <c r="F45" s="31">
        <v>8</v>
      </c>
      <c r="G45" s="31">
        <v>8</v>
      </c>
      <c r="H45" s="31" t="s">
        <v>32</v>
      </c>
      <c r="I45" s="31"/>
      <c r="J45" s="31" t="s">
        <v>375</v>
      </c>
      <c r="K45" s="31">
        <f t="shared" si="0"/>
        <v>44</v>
      </c>
      <c r="L45" s="31">
        <f t="shared" si="1"/>
        <v>7</v>
      </c>
      <c r="M45" s="31">
        <v>0</v>
      </c>
      <c r="N45" s="31">
        <v>2</v>
      </c>
      <c r="O45" s="31">
        <v>0</v>
      </c>
      <c r="P45" s="31"/>
      <c r="Q45" s="31" t="s">
        <v>45</v>
      </c>
      <c r="R45" s="31">
        <f t="shared" si="2"/>
        <v>2</v>
      </c>
      <c r="S45" s="31" t="s">
        <v>31</v>
      </c>
      <c r="T45" s="46" t="s">
        <v>342</v>
      </c>
      <c r="U45" s="31">
        <f t="shared" si="3"/>
        <v>1</v>
      </c>
      <c r="V45" s="46">
        <v>54.25</v>
      </c>
      <c r="W45" s="31">
        <f t="shared" si="4"/>
        <v>434</v>
      </c>
      <c r="X45" s="31">
        <v>10</v>
      </c>
      <c r="Y45" s="44">
        <f>Data!I90</f>
        <v>15768000</v>
      </c>
      <c r="Z45" s="31" t="s">
        <v>189</v>
      </c>
      <c r="AA45" s="31">
        <f>5*365*(24*(3600))</f>
        <v>157680000</v>
      </c>
      <c r="AB45" s="31" t="str">
        <f t="shared" si="5"/>
        <v>4</v>
      </c>
      <c r="AC45" s="34">
        <f>AVERAGE(Data!I90:BN90)</f>
        <v>86724000</v>
      </c>
      <c r="AD45" s="31" t="str">
        <f t="shared" si="6"/>
        <v>4</v>
      </c>
      <c r="AE45" s="44">
        <f t="shared" si="7"/>
        <v>141912000</v>
      </c>
      <c r="AF45" s="45">
        <f>Data!I91</f>
        <v>0.97</v>
      </c>
      <c r="AG45" s="34">
        <f>((Data!J91-Data!I91)+(Data!K91-Data!J91)+(Data!L91-Data!K91)+(Data!M91-Data!L91)+(Data!N91-Data!M91)+(Data!O91-Data!N91)+(Data!P91-Data!O91)+(Data!Q91-Data!P91)+(Data!R91-Data!Q91))/9</f>
        <v>-3.2222222222222215E-2</v>
      </c>
    </row>
    <row r="46" spans="1:118" s="3" customFormat="1" ht="12" customHeight="1" x14ac:dyDescent="0.2">
      <c r="A46" s="27">
        <v>43509</v>
      </c>
      <c r="B46" s="1" t="s">
        <v>83</v>
      </c>
      <c r="C46" s="1" t="s">
        <v>84</v>
      </c>
      <c r="D46" s="23">
        <v>1925</v>
      </c>
      <c r="E46" s="38">
        <v>1</v>
      </c>
      <c r="F46" s="23">
        <v>58</v>
      </c>
      <c r="G46" s="23">
        <v>58</v>
      </c>
      <c r="H46" s="23" t="s">
        <v>17</v>
      </c>
      <c r="I46" s="23" t="s">
        <v>386</v>
      </c>
      <c r="J46" s="23" t="s">
        <v>190</v>
      </c>
      <c r="K46" s="23">
        <f t="shared" ref="K46:K109" si="8">IF(J46="syllables",1,IF(J46="trigrams",2,IF(J46="strings",3,IF(J46="visual array",4,IF(J46="characters",5,IF(J46="letters",6,IF(J46="free forms",7,IF(J46="odors",8,IF(J46="words",9,IF(J46="pictures",10,IF(J46="object pictures",11,IF(J46="faces",12,IF(J46="names",13,IF(J46="idioms",14,IF(J46="grades",15,IF(J46="syllable-digit pairs",16,IF(J46="trigram-word pairs",17,IF(J46="word-digit pairs",18,IF(J46="English-Swahili pairs",19,IF(J46="spatial position",20,IF(J46="word pairs",21,IF(J46="word triads",22,IF(J46="generated words",23,IF(J46="word definition pairs",24,IF(J46="math problems",25,IF(J46="famous faces",26,IF(J46="famous names",27,IF(J46="famous voices",28,IF(J46="television programs",29,IF(J46="race horses",30,IF(J46="new vocabulary",31,IF(J46="sentences",32,IF(J46="concepts",33,IF(J46="ad slides",34,IF(J46="scenes",35,IF(J46="famous scenes",36,IF(J46="poems",37,IF(J46="walk",38,IF(J46="faces and events",39,IF(J46="events and names",40,IF(J46="flashbulb",41,IF(J46="stories",42,IF(J46="course material",43,IF(J46="autobiographical",44,IF(J46="novels",45,IF(J46="public events",46,"99"))))))))))))))))))))))))))))))))))))))))))))))</f>
        <v>21</v>
      </c>
      <c r="L46" s="23">
        <f t="shared" ref="L46:L109" si="9">IF(J46="syllables",1,IF(J46="trigrams",1,IF(J46="strings",1,IF(J46="visual array",1,IF(J46="characters",1,IF(J46="letters",1,IF(J46="free forms",1,IF(J46="odors",2,IF(J46="words",2,IF(J46="pictures",2,IF(J46="object pictures",2,IF(J46="faces",2,IF(J46="names",2,IF(J46="idioms","2",IF(J46="grades",2,IF(J46="syllable-digit pairs",3,IF(J46="trigram-word pairs",3,IF(J46="word-digit pairs",3,IF(J46="English-Swahili pairs",3,IF(J46="spatial position",3,IF(J46="word pairs",4,IF(J46="word triads",4,IF(J46="generated words",4,IF(J46="word definition pairs",4,IF(J46="math problems",4,IF(J46="famous faces",4,IF(J46="famous names",4,IF(J46="famous voices",4,IF(J46="television programs",4,IF(J46="race horses",4,IF(J46="new vocabulary",4,IF(J46="sentences",5,IF(J46="concepts",5,IF(J46="ad slides",5,IF(J46="scenes",5,IF(J46="famous scenes",5,IF(J46="poems",6,IF(J46="walk",6,IF(J46="faces and events",6,IF(J46="events and names",6,IF(J46="flashbulb",7,IF(J46="stories",7,IF(J46="course material",7,IF(J46="autobiographical",7,IF(J46="novels",7,IF(J46="public events",7,"99"))))))))))))))))))))))))))))))))))))))))))))))</f>
        <v>4</v>
      </c>
      <c r="M46" s="23">
        <v>1</v>
      </c>
      <c r="N46" s="23">
        <v>2</v>
      </c>
      <c r="O46" s="23">
        <v>0</v>
      </c>
      <c r="P46" s="23"/>
      <c r="Q46" s="23" t="s">
        <v>106</v>
      </c>
      <c r="R46" s="23">
        <f t="shared" ref="R46:R109" si="10">IF(Q46="Free Recall",1,IF(Q46="Cued Recall",2,IF(Q46="Recognition",3,IF(Q46="Multiple Choice",4,IF(Q46="Savings",5,IF(Q46="Stem Completion",6,IF(Q46="Fragment Completion",7,IF(Q46="anagram solution",8,IF(Q46="Matching",9,IF(Q46="Problem Solving",10,"99"))))))))))</f>
        <v>1</v>
      </c>
      <c r="S46" s="23" t="s">
        <v>148</v>
      </c>
      <c r="T46" s="22" t="s">
        <v>342</v>
      </c>
      <c r="U46" s="23">
        <f t="shared" ref="U46:U109" si="11">IF(T46="within",1,0)</f>
        <v>1</v>
      </c>
      <c r="V46" s="22">
        <v>20</v>
      </c>
      <c r="W46" s="23">
        <f t="shared" ref="W46:W109" si="12">F46*V46</f>
        <v>1160</v>
      </c>
      <c r="X46" s="23">
        <v>5</v>
      </c>
      <c r="Y46" s="38">
        <f>Data!I92</f>
        <v>200</v>
      </c>
      <c r="Z46" s="23" t="s">
        <v>82</v>
      </c>
      <c r="AA46" s="23">
        <v>2419200</v>
      </c>
      <c r="AB46" s="23" t="str">
        <f t="shared" ref="AB46:AB109" si="13">IF(AA46&lt;60,"1",IF(AA46&lt;=43200,"2",IF(AA46&lt;=777600,"3","4")))</f>
        <v>4</v>
      </c>
      <c r="AC46" s="19">
        <f>AVERAGE(Data!I92:BN92)</f>
        <v>1209640</v>
      </c>
      <c r="AD46" s="23" t="str">
        <f t="shared" ref="AD46:AD109" si="14">IF(AC46&lt;60,"1",IF(AC46&lt;=43200,"2",IF(AC46&lt;=777600,"3","4")))</f>
        <v>4</v>
      </c>
      <c r="AE46" s="38">
        <f t="shared" ref="AE46:AE109" si="15">AA46-Y46</f>
        <v>2419000</v>
      </c>
      <c r="AF46" s="41">
        <f>Data!I93</f>
        <v>0.43</v>
      </c>
      <c r="AG46" s="19">
        <f>((Data!J93-Data!I93)+(Data!K93-Data!J93)+(Data!L93-Data!K93)+(Data!M93-Data!L93))/4</f>
        <v>-0.10249999999999999</v>
      </c>
      <c r="DN46" s="4"/>
    </row>
    <row r="47" spans="1:118" s="3" customFormat="1" ht="12" customHeight="1" x14ac:dyDescent="0.2">
      <c r="A47" s="27">
        <v>43509</v>
      </c>
      <c r="B47" s="1" t="s">
        <v>83</v>
      </c>
      <c r="C47" s="1" t="s">
        <v>84</v>
      </c>
      <c r="D47" s="23">
        <v>1925</v>
      </c>
      <c r="E47" s="38">
        <v>1</v>
      </c>
      <c r="F47" s="23">
        <v>58</v>
      </c>
      <c r="G47" s="23">
        <v>58</v>
      </c>
      <c r="H47" s="23" t="s">
        <v>17</v>
      </c>
      <c r="I47" s="23" t="s">
        <v>386</v>
      </c>
      <c r="J47" s="23" t="s">
        <v>190</v>
      </c>
      <c r="K47" s="23">
        <f t="shared" si="8"/>
        <v>21</v>
      </c>
      <c r="L47" s="23">
        <f t="shared" si="9"/>
        <v>4</v>
      </c>
      <c r="M47" s="23">
        <v>1</v>
      </c>
      <c r="N47" s="23">
        <v>2</v>
      </c>
      <c r="O47" s="23">
        <v>0</v>
      </c>
      <c r="P47" s="23"/>
      <c r="Q47" s="23" t="s">
        <v>111</v>
      </c>
      <c r="R47" s="23">
        <f t="shared" si="10"/>
        <v>4</v>
      </c>
      <c r="S47" s="23" t="s">
        <v>148</v>
      </c>
      <c r="T47" s="22" t="s">
        <v>342</v>
      </c>
      <c r="U47" s="23">
        <f t="shared" si="11"/>
        <v>1</v>
      </c>
      <c r="V47" s="22">
        <v>20</v>
      </c>
      <c r="W47" s="23">
        <f t="shared" si="12"/>
        <v>1160</v>
      </c>
      <c r="X47" s="23">
        <v>5</v>
      </c>
      <c r="Y47" s="38">
        <f>Data!I94</f>
        <v>200</v>
      </c>
      <c r="Z47" s="23" t="s">
        <v>82</v>
      </c>
      <c r="AA47" s="23">
        <v>2419200</v>
      </c>
      <c r="AB47" s="23" t="str">
        <f t="shared" si="13"/>
        <v>4</v>
      </c>
      <c r="AC47" s="19">
        <f>AVERAGE(Data!I94:BN94)</f>
        <v>1209640</v>
      </c>
      <c r="AD47" s="23" t="str">
        <f t="shared" si="14"/>
        <v>4</v>
      </c>
      <c r="AE47" s="38">
        <f t="shared" si="15"/>
        <v>2419000</v>
      </c>
      <c r="AF47" s="41">
        <f>Data!I95</f>
        <v>0.88</v>
      </c>
      <c r="AG47" s="19">
        <f>((Data!J95-Data!I95)+(Data!K95-Data!J95)+(Data!L95-Data!K95)+(Data!M95-Data!L95))/4</f>
        <v>-9.2499999999999999E-2</v>
      </c>
      <c r="DN47" s="4"/>
    </row>
    <row r="48" spans="1:118" s="3" customFormat="1" ht="12" customHeight="1" x14ac:dyDescent="0.2">
      <c r="A48" s="27">
        <v>43509</v>
      </c>
      <c r="B48" s="1" t="s">
        <v>85</v>
      </c>
      <c r="C48" s="1" t="s">
        <v>50</v>
      </c>
      <c r="D48" s="23">
        <v>2008</v>
      </c>
      <c r="E48" s="38">
        <v>1</v>
      </c>
      <c r="F48" s="23">
        <v>55</v>
      </c>
      <c r="G48" s="23">
        <v>55</v>
      </c>
      <c r="H48" s="23" t="s">
        <v>17</v>
      </c>
      <c r="I48" s="23" t="s">
        <v>388</v>
      </c>
      <c r="J48" s="23" t="s">
        <v>292</v>
      </c>
      <c r="K48" s="23">
        <f t="shared" si="8"/>
        <v>32</v>
      </c>
      <c r="L48" s="23">
        <f t="shared" si="9"/>
        <v>5</v>
      </c>
      <c r="M48" s="23">
        <v>1</v>
      </c>
      <c r="N48" s="23">
        <v>4</v>
      </c>
      <c r="O48" s="23">
        <v>0</v>
      </c>
      <c r="P48" s="23"/>
      <c r="Q48" s="23" t="s">
        <v>45</v>
      </c>
      <c r="R48" s="23">
        <f t="shared" si="10"/>
        <v>2</v>
      </c>
      <c r="S48" s="23" t="s">
        <v>31</v>
      </c>
      <c r="T48" s="22" t="s">
        <v>342</v>
      </c>
      <c r="U48" s="23">
        <f t="shared" si="11"/>
        <v>1</v>
      </c>
      <c r="V48" s="22">
        <v>60</v>
      </c>
      <c r="W48" s="23">
        <f t="shared" si="12"/>
        <v>3300</v>
      </c>
      <c r="X48" s="23">
        <v>6</v>
      </c>
      <c r="Y48" s="38">
        <f>Data!I96</f>
        <v>300</v>
      </c>
      <c r="Z48" s="23" t="s">
        <v>86</v>
      </c>
      <c r="AA48" s="23">
        <f t="shared" ref="AA48:AA53" si="16">42*24*60*60</f>
        <v>3628800</v>
      </c>
      <c r="AB48" s="23" t="str">
        <f t="shared" si="13"/>
        <v>4</v>
      </c>
      <c r="AC48" s="19">
        <f>AVERAGE(Data!I96:BN96)</f>
        <v>950450</v>
      </c>
      <c r="AD48" s="23" t="str">
        <f t="shared" si="14"/>
        <v>4</v>
      </c>
      <c r="AE48" s="38">
        <f t="shared" si="15"/>
        <v>3628500</v>
      </c>
      <c r="AF48" s="41">
        <f>Data!I97</f>
        <v>0.93</v>
      </c>
      <c r="AG48" s="19">
        <f>((Data!J97-Data!I97)+(Data!K97-Data!J97)+(Data!L97-Data!K97)+(Data!M97-Data!L97)+(Data!N97-Data!M97))/5</f>
        <v>-0.11800000000000002</v>
      </c>
    </row>
    <row r="49" spans="1:118" s="3" customFormat="1" ht="12" customHeight="1" x14ac:dyDescent="0.2">
      <c r="A49" s="27">
        <v>43509</v>
      </c>
      <c r="B49" s="1" t="s">
        <v>85</v>
      </c>
      <c r="C49" s="1" t="s">
        <v>50</v>
      </c>
      <c r="D49" s="23">
        <v>2008</v>
      </c>
      <c r="E49" s="38">
        <v>1</v>
      </c>
      <c r="F49" s="23">
        <v>55</v>
      </c>
      <c r="G49" s="23">
        <v>55</v>
      </c>
      <c r="H49" s="23" t="s">
        <v>17</v>
      </c>
      <c r="I49" s="23" t="s">
        <v>389</v>
      </c>
      <c r="J49" s="23" t="s">
        <v>292</v>
      </c>
      <c r="K49" s="23">
        <f t="shared" si="8"/>
        <v>32</v>
      </c>
      <c r="L49" s="23">
        <f t="shared" si="9"/>
        <v>5</v>
      </c>
      <c r="M49" s="23">
        <v>1</v>
      </c>
      <c r="N49" s="23">
        <v>4</v>
      </c>
      <c r="O49" s="23">
        <v>0</v>
      </c>
      <c r="P49" s="23"/>
      <c r="Q49" s="23" t="s">
        <v>45</v>
      </c>
      <c r="R49" s="23">
        <f t="shared" si="10"/>
        <v>2</v>
      </c>
      <c r="S49" s="23" t="s">
        <v>31</v>
      </c>
      <c r="T49" s="22" t="s">
        <v>342</v>
      </c>
      <c r="U49" s="23">
        <f t="shared" si="11"/>
        <v>1</v>
      </c>
      <c r="V49" s="22">
        <v>60</v>
      </c>
      <c r="W49" s="23">
        <f t="shared" si="12"/>
        <v>3300</v>
      </c>
      <c r="X49" s="23">
        <v>6</v>
      </c>
      <c r="Y49" s="38">
        <f>Data!I98</f>
        <v>300</v>
      </c>
      <c r="Z49" s="23" t="s">
        <v>86</v>
      </c>
      <c r="AA49" s="23">
        <f t="shared" si="16"/>
        <v>3628800</v>
      </c>
      <c r="AB49" s="23" t="str">
        <f t="shared" si="13"/>
        <v>4</v>
      </c>
      <c r="AC49" s="19">
        <f>AVERAGE(Data!I98:BN98)</f>
        <v>950450</v>
      </c>
      <c r="AD49" s="23" t="str">
        <f t="shared" si="14"/>
        <v>4</v>
      </c>
      <c r="AE49" s="38">
        <f t="shared" si="15"/>
        <v>3628500</v>
      </c>
      <c r="AF49" s="41">
        <f>Data!I99</f>
        <v>0.91</v>
      </c>
      <c r="AG49" s="19">
        <f>((Data!J99-Data!I99)+(Data!K99-Data!J99)+(Data!L99-Data!K99)+(Data!M99-Data!L99)+(Data!N99-Data!M99))/5</f>
        <v>-0.12200000000000003</v>
      </c>
    </row>
    <row r="50" spans="1:118" s="3" customFormat="1" ht="12" customHeight="1" x14ac:dyDescent="0.2">
      <c r="A50" s="27">
        <v>43509</v>
      </c>
      <c r="B50" s="1" t="s">
        <v>85</v>
      </c>
      <c r="C50" s="1" t="s">
        <v>50</v>
      </c>
      <c r="D50" s="23">
        <v>2008</v>
      </c>
      <c r="E50" s="38">
        <v>2</v>
      </c>
      <c r="F50" s="23">
        <v>57</v>
      </c>
      <c r="G50" s="23">
        <v>57</v>
      </c>
      <c r="H50" s="23" t="s">
        <v>17</v>
      </c>
      <c r="I50" s="23" t="s">
        <v>388</v>
      </c>
      <c r="J50" s="23" t="s">
        <v>292</v>
      </c>
      <c r="K50" s="23">
        <f t="shared" si="8"/>
        <v>32</v>
      </c>
      <c r="L50" s="23">
        <f t="shared" si="9"/>
        <v>5</v>
      </c>
      <c r="M50" s="23">
        <v>1</v>
      </c>
      <c r="N50" s="23">
        <v>4</v>
      </c>
      <c r="O50" s="23">
        <v>0</v>
      </c>
      <c r="P50" s="23"/>
      <c r="Q50" s="23" t="s">
        <v>45</v>
      </c>
      <c r="R50" s="23">
        <f t="shared" si="10"/>
        <v>2</v>
      </c>
      <c r="S50" s="23" t="s">
        <v>31</v>
      </c>
      <c r="T50" s="22" t="s">
        <v>342</v>
      </c>
      <c r="U50" s="23">
        <f t="shared" si="11"/>
        <v>1</v>
      </c>
      <c r="V50" s="22">
        <v>60</v>
      </c>
      <c r="W50" s="23">
        <f t="shared" si="12"/>
        <v>3420</v>
      </c>
      <c r="X50" s="23">
        <v>6</v>
      </c>
      <c r="Y50" s="38">
        <f>Data!I100</f>
        <v>300</v>
      </c>
      <c r="Z50" s="23" t="s">
        <v>86</v>
      </c>
      <c r="AA50" s="23">
        <f t="shared" si="16"/>
        <v>3628800</v>
      </c>
      <c r="AB50" s="23" t="str">
        <f t="shared" si="13"/>
        <v>4</v>
      </c>
      <c r="AC50" s="19">
        <f>AVERAGE(Data!I100:BN100)</f>
        <v>950450</v>
      </c>
      <c r="AD50" s="23" t="str">
        <f t="shared" si="14"/>
        <v>4</v>
      </c>
      <c r="AE50" s="38">
        <f t="shared" si="15"/>
        <v>3628500</v>
      </c>
      <c r="AF50" s="41">
        <f>Data!I101</f>
        <v>0.96</v>
      </c>
      <c r="AG50" s="19">
        <f>((Data!J101-Data!I101)+(Data!K101-Data!J101)+(Data!L101-Data!K101)+(Data!M101-Data!L101)+(Data!N101-Data!M101))/5</f>
        <v>-0.11399999999999999</v>
      </c>
      <c r="DN50" s="9"/>
    </row>
    <row r="51" spans="1:118" s="9" customFormat="1" ht="12" customHeight="1" x14ac:dyDescent="0.2">
      <c r="A51" s="27">
        <v>43509</v>
      </c>
      <c r="B51" s="1" t="s">
        <v>85</v>
      </c>
      <c r="C51" s="1" t="s">
        <v>50</v>
      </c>
      <c r="D51" s="23">
        <v>2008</v>
      </c>
      <c r="E51" s="38">
        <v>2</v>
      </c>
      <c r="F51" s="23">
        <v>57</v>
      </c>
      <c r="G51" s="23">
        <v>57</v>
      </c>
      <c r="H51" s="23" t="s">
        <v>17</v>
      </c>
      <c r="I51" s="23" t="s">
        <v>389</v>
      </c>
      <c r="J51" s="23" t="s">
        <v>292</v>
      </c>
      <c r="K51" s="23">
        <f t="shared" si="8"/>
        <v>32</v>
      </c>
      <c r="L51" s="23">
        <f t="shared" si="9"/>
        <v>5</v>
      </c>
      <c r="M51" s="23">
        <v>1</v>
      </c>
      <c r="N51" s="23">
        <v>4</v>
      </c>
      <c r="O51" s="23">
        <v>0</v>
      </c>
      <c r="P51" s="23"/>
      <c r="Q51" s="23" t="s">
        <v>45</v>
      </c>
      <c r="R51" s="23">
        <f t="shared" si="10"/>
        <v>2</v>
      </c>
      <c r="S51" s="23" t="s">
        <v>31</v>
      </c>
      <c r="T51" s="22" t="s">
        <v>342</v>
      </c>
      <c r="U51" s="23">
        <f t="shared" si="11"/>
        <v>1</v>
      </c>
      <c r="V51" s="22">
        <v>60</v>
      </c>
      <c r="W51" s="23">
        <f t="shared" si="12"/>
        <v>3420</v>
      </c>
      <c r="X51" s="23">
        <v>6</v>
      </c>
      <c r="Y51" s="38">
        <f>Data!I102</f>
        <v>300</v>
      </c>
      <c r="Z51" s="23" t="s">
        <v>86</v>
      </c>
      <c r="AA51" s="23">
        <f t="shared" si="16"/>
        <v>3628800</v>
      </c>
      <c r="AB51" s="23" t="str">
        <f t="shared" si="13"/>
        <v>4</v>
      </c>
      <c r="AC51" s="19">
        <f>AVERAGE(Data!I102:BN102)</f>
        <v>950450</v>
      </c>
      <c r="AD51" s="23" t="str">
        <f t="shared" si="14"/>
        <v>4</v>
      </c>
      <c r="AE51" s="38">
        <f t="shared" si="15"/>
        <v>3628500</v>
      </c>
      <c r="AF51" s="41">
        <f>Data!I103</f>
        <v>0.93</v>
      </c>
      <c r="AG51" s="19">
        <f>((Data!J103-Data!I103)+(Data!K103-Data!J103)+(Data!L103-Data!K103)+(Data!M103-Data!L103)+(Data!N103-Data!M103))/5</f>
        <v>-0.11400000000000002</v>
      </c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</row>
    <row r="52" spans="1:118" s="9" customFormat="1" ht="12" customHeight="1" x14ac:dyDescent="0.2">
      <c r="A52" s="27">
        <v>43509</v>
      </c>
      <c r="B52" s="1" t="s">
        <v>85</v>
      </c>
      <c r="C52" s="1" t="s">
        <v>50</v>
      </c>
      <c r="D52" s="23">
        <v>2008</v>
      </c>
      <c r="E52" s="38">
        <v>3</v>
      </c>
      <c r="F52" s="23">
        <v>54</v>
      </c>
      <c r="G52" s="23">
        <v>54</v>
      </c>
      <c r="H52" s="23" t="s">
        <v>17</v>
      </c>
      <c r="I52" s="23" t="s">
        <v>388</v>
      </c>
      <c r="J52" s="23" t="s">
        <v>303</v>
      </c>
      <c r="K52" s="23">
        <f t="shared" si="8"/>
        <v>19</v>
      </c>
      <c r="L52" s="23">
        <f t="shared" si="9"/>
        <v>3</v>
      </c>
      <c r="M52" s="23">
        <v>1</v>
      </c>
      <c r="N52" s="23">
        <v>2</v>
      </c>
      <c r="O52" s="23">
        <v>0</v>
      </c>
      <c r="P52" s="23"/>
      <c r="Q52" s="23" t="s">
        <v>45</v>
      </c>
      <c r="R52" s="23">
        <f t="shared" si="10"/>
        <v>2</v>
      </c>
      <c r="S52" s="23" t="s">
        <v>31</v>
      </c>
      <c r="T52" s="22" t="s">
        <v>342</v>
      </c>
      <c r="U52" s="23">
        <f t="shared" si="11"/>
        <v>1</v>
      </c>
      <c r="V52" s="22">
        <v>60</v>
      </c>
      <c r="W52" s="23">
        <f t="shared" si="12"/>
        <v>3240</v>
      </c>
      <c r="X52" s="23">
        <v>6</v>
      </c>
      <c r="Y52" s="38">
        <f>Data!I104</f>
        <v>300</v>
      </c>
      <c r="Z52" s="23" t="s">
        <v>86</v>
      </c>
      <c r="AA52" s="23">
        <f t="shared" si="16"/>
        <v>3628800</v>
      </c>
      <c r="AB52" s="23" t="str">
        <f t="shared" si="13"/>
        <v>4</v>
      </c>
      <c r="AC52" s="19">
        <f>AVERAGE(Data!I104:BN104)</f>
        <v>950450</v>
      </c>
      <c r="AD52" s="23" t="str">
        <f t="shared" si="14"/>
        <v>4</v>
      </c>
      <c r="AE52" s="38">
        <f t="shared" si="15"/>
        <v>3628500</v>
      </c>
      <c r="AF52" s="41">
        <f>Data!I105</f>
        <v>0.59</v>
      </c>
      <c r="AG52" s="19">
        <f>((Data!J105-Data!I105)+(Data!K105-Data!J105)+(Data!L105-Data!K105)+(Data!M105-Data!L105)+(Data!N105-Data!M105))/5</f>
        <v>-7.9999999999999988E-2</v>
      </c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</row>
    <row r="53" spans="1:118" s="9" customFormat="1" ht="12" customHeight="1" x14ac:dyDescent="0.2">
      <c r="A53" s="27">
        <v>43509</v>
      </c>
      <c r="B53" s="1" t="s">
        <v>85</v>
      </c>
      <c r="C53" s="1" t="s">
        <v>50</v>
      </c>
      <c r="D53" s="23">
        <v>2008</v>
      </c>
      <c r="E53" s="38">
        <v>3</v>
      </c>
      <c r="F53" s="23">
        <v>54</v>
      </c>
      <c r="G53" s="23">
        <v>54</v>
      </c>
      <c r="H53" s="23" t="s">
        <v>17</v>
      </c>
      <c r="I53" s="23" t="s">
        <v>389</v>
      </c>
      <c r="J53" s="23" t="s">
        <v>303</v>
      </c>
      <c r="K53" s="23">
        <f t="shared" si="8"/>
        <v>19</v>
      </c>
      <c r="L53" s="23">
        <f t="shared" si="9"/>
        <v>3</v>
      </c>
      <c r="M53" s="23">
        <v>1</v>
      </c>
      <c r="N53" s="23">
        <v>2</v>
      </c>
      <c r="O53" s="23">
        <v>0</v>
      </c>
      <c r="P53" s="23"/>
      <c r="Q53" s="23" t="s">
        <v>45</v>
      </c>
      <c r="R53" s="23">
        <f t="shared" si="10"/>
        <v>2</v>
      </c>
      <c r="S53" s="23" t="s">
        <v>31</v>
      </c>
      <c r="T53" s="22" t="s">
        <v>342</v>
      </c>
      <c r="U53" s="23">
        <f t="shared" si="11"/>
        <v>1</v>
      </c>
      <c r="V53" s="22">
        <v>60</v>
      </c>
      <c r="W53" s="23">
        <f t="shared" si="12"/>
        <v>3240</v>
      </c>
      <c r="X53" s="23">
        <v>6</v>
      </c>
      <c r="Y53" s="38">
        <f>Data!I106</f>
        <v>300</v>
      </c>
      <c r="Z53" s="23" t="s">
        <v>86</v>
      </c>
      <c r="AA53" s="23">
        <f t="shared" si="16"/>
        <v>3628800</v>
      </c>
      <c r="AB53" s="23" t="str">
        <f t="shared" si="13"/>
        <v>4</v>
      </c>
      <c r="AC53" s="19">
        <f>AVERAGE(Data!I106:BN106)</f>
        <v>950450</v>
      </c>
      <c r="AD53" s="23" t="str">
        <f t="shared" si="14"/>
        <v>4</v>
      </c>
      <c r="AE53" s="38">
        <f t="shared" si="15"/>
        <v>3628500</v>
      </c>
      <c r="AF53" s="41">
        <f>Data!I107</f>
        <v>0.51</v>
      </c>
      <c r="AG53" s="19">
        <f>((Data!J107-Data!I107)+(Data!K107-Data!J107)+(Data!L107-Data!K107)+(Data!M107-Data!L107)+(Data!N107-Data!M107))/5</f>
        <v>-7.0000000000000021E-2</v>
      </c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</row>
    <row r="54" spans="1:118" s="9" customFormat="1" ht="12" customHeight="1" x14ac:dyDescent="0.2">
      <c r="A54" s="27">
        <v>43648</v>
      </c>
      <c r="B54" s="32" t="s">
        <v>192</v>
      </c>
      <c r="C54" s="32" t="s">
        <v>50</v>
      </c>
      <c r="D54" s="31">
        <v>2004</v>
      </c>
      <c r="E54" s="44">
        <v>1</v>
      </c>
      <c r="F54" s="31">
        <v>1</v>
      </c>
      <c r="G54" s="31">
        <v>1</v>
      </c>
      <c r="H54" s="31" t="s">
        <v>26</v>
      </c>
      <c r="I54" s="31" t="s">
        <v>390</v>
      </c>
      <c r="J54" s="31" t="s">
        <v>375</v>
      </c>
      <c r="K54" s="31">
        <f t="shared" si="8"/>
        <v>44</v>
      </c>
      <c r="L54" s="31">
        <f t="shared" si="9"/>
        <v>7</v>
      </c>
      <c r="M54" s="31">
        <v>0</v>
      </c>
      <c r="N54" s="31">
        <v>2</v>
      </c>
      <c r="O54" s="31">
        <v>0</v>
      </c>
      <c r="P54" s="31"/>
      <c r="Q54" s="31" t="s">
        <v>45</v>
      </c>
      <c r="R54" s="31">
        <f t="shared" si="10"/>
        <v>2</v>
      </c>
      <c r="S54" s="31" t="s">
        <v>31</v>
      </c>
      <c r="T54" s="46" t="s">
        <v>342</v>
      </c>
      <c r="U54" s="31">
        <f t="shared" si="11"/>
        <v>1</v>
      </c>
      <c r="V54" s="46">
        <v>604</v>
      </c>
      <c r="W54" s="31">
        <f t="shared" si="12"/>
        <v>604</v>
      </c>
      <c r="X54" s="31">
        <v>10</v>
      </c>
      <c r="Y54" s="44">
        <f>Data!I108</f>
        <v>31536000</v>
      </c>
      <c r="Z54" s="31" t="s">
        <v>188</v>
      </c>
      <c r="AA54" s="31">
        <f>19*365*24*3600</f>
        <v>599184000</v>
      </c>
      <c r="AB54" s="31" t="str">
        <f t="shared" si="13"/>
        <v>4</v>
      </c>
      <c r="AC54" s="34">
        <f>AVERAGE(Data!I108:BN108)</f>
        <v>315360000</v>
      </c>
      <c r="AD54" s="31" t="str">
        <f t="shared" si="14"/>
        <v>4</v>
      </c>
      <c r="AE54" s="44">
        <f t="shared" si="15"/>
        <v>567648000</v>
      </c>
      <c r="AF54" s="45">
        <f>Data!I109</f>
        <v>0.76666666666666661</v>
      </c>
      <c r="AG54" s="34">
        <f>((Data!J109-Data!I109)+(Data!K109-Data!J109)+(Data!L109-Data!K109)+(Data!M109-Data!L109)+(Data!N109-Data!M109)+(Data!O109-Data!N109)+(Data!P109-Data!O109)+(Data!Q109-Data!P109)+(Data!R109-Data!Q109))/9</f>
        <v>-1.8518518518518514E-2</v>
      </c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</row>
    <row r="55" spans="1:118" s="9" customFormat="1" ht="12" customHeight="1" x14ac:dyDescent="0.2">
      <c r="A55" s="27">
        <v>43648</v>
      </c>
      <c r="B55" s="32" t="s">
        <v>192</v>
      </c>
      <c r="C55" s="32" t="s">
        <v>50</v>
      </c>
      <c r="D55" s="31">
        <v>2004</v>
      </c>
      <c r="E55" s="44">
        <v>1</v>
      </c>
      <c r="F55" s="31">
        <v>1</v>
      </c>
      <c r="G55" s="31">
        <v>1</v>
      </c>
      <c r="H55" s="31" t="s">
        <v>26</v>
      </c>
      <c r="I55" s="31" t="s">
        <v>391</v>
      </c>
      <c r="J55" s="31" t="s">
        <v>375</v>
      </c>
      <c r="K55" s="31">
        <f t="shared" si="8"/>
        <v>44</v>
      </c>
      <c r="L55" s="31">
        <f t="shared" si="9"/>
        <v>7</v>
      </c>
      <c r="M55" s="31">
        <v>0</v>
      </c>
      <c r="N55" s="31">
        <v>2</v>
      </c>
      <c r="O55" s="31">
        <v>0</v>
      </c>
      <c r="P55" s="31"/>
      <c r="Q55" s="31" t="s">
        <v>45</v>
      </c>
      <c r="R55" s="31">
        <f t="shared" si="10"/>
        <v>2</v>
      </c>
      <c r="S55" s="31" t="s">
        <v>31</v>
      </c>
      <c r="T55" s="46" t="s">
        <v>342</v>
      </c>
      <c r="U55" s="31">
        <f t="shared" si="11"/>
        <v>1</v>
      </c>
      <c r="V55" s="46">
        <v>524</v>
      </c>
      <c r="W55" s="31">
        <f t="shared" si="12"/>
        <v>524</v>
      </c>
      <c r="X55" s="31">
        <v>10</v>
      </c>
      <c r="Y55" s="44">
        <f>Data!I110</f>
        <v>31536000</v>
      </c>
      <c r="Z55" s="31" t="s">
        <v>188</v>
      </c>
      <c r="AA55" s="31">
        <f>19*365*24*3600</f>
        <v>599184000</v>
      </c>
      <c r="AB55" s="31" t="str">
        <f t="shared" si="13"/>
        <v>4</v>
      </c>
      <c r="AC55" s="34">
        <f>AVERAGE(Data!I110:BN110)</f>
        <v>315360000</v>
      </c>
      <c r="AD55" s="31" t="str">
        <f t="shared" si="14"/>
        <v>4</v>
      </c>
      <c r="AE55" s="44">
        <f t="shared" si="15"/>
        <v>567648000</v>
      </c>
      <c r="AF55" s="45">
        <f>Data!I111</f>
        <v>0.68333333333333324</v>
      </c>
      <c r="AG55" s="34">
        <f>((Data!J111-Data!I111)+(Data!K111-Data!J111)+(Data!L111-Data!K111)+(Data!M111-Data!L111)+(Data!N111-Data!M111)+(Data!O111-Data!N111)+(Data!P111-Data!O111)+(Data!Q111-Data!P111)+(Data!R111-Data!Q111))/9</f>
        <v>-3.1481481481481471E-2</v>
      </c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</row>
    <row r="56" spans="1:118" s="9" customFormat="1" ht="12" customHeight="1" x14ac:dyDescent="0.2">
      <c r="A56" s="27">
        <v>43906</v>
      </c>
      <c r="B56" s="32" t="s">
        <v>302</v>
      </c>
      <c r="C56" s="32" t="s">
        <v>301</v>
      </c>
      <c r="D56" s="31">
        <v>2009</v>
      </c>
      <c r="E56" s="44">
        <v>1</v>
      </c>
      <c r="F56" s="31">
        <v>215</v>
      </c>
      <c r="G56" s="51">
        <v>35.799999999999997</v>
      </c>
      <c r="H56" s="31" t="s">
        <v>304</v>
      </c>
      <c r="I56" s="31"/>
      <c r="J56" s="31" t="s">
        <v>303</v>
      </c>
      <c r="K56" s="31">
        <f t="shared" si="8"/>
        <v>19</v>
      </c>
      <c r="L56" s="31">
        <f t="shared" si="9"/>
        <v>3</v>
      </c>
      <c r="M56" s="31">
        <v>1</v>
      </c>
      <c r="N56" s="43">
        <v>3</v>
      </c>
      <c r="O56" s="31">
        <v>0</v>
      </c>
      <c r="P56" s="31"/>
      <c r="Q56" s="31" t="s">
        <v>45</v>
      </c>
      <c r="R56" s="31">
        <f t="shared" si="10"/>
        <v>2</v>
      </c>
      <c r="S56" s="31" t="s">
        <v>11</v>
      </c>
      <c r="T56" s="31" t="s">
        <v>163</v>
      </c>
      <c r="U56" s="31">
        <f t="shared" si="11"/>
        <v>0</v>
      </c>
      <c r="V56" s="31">
        <v>40</v>
      </c>
      <c r="W56" s="31">
        <f t="shared" si="12"/>
        <v>8600</v>
      </c>
      <c r="X56" s="31">
        <v>6</v>
      </c>
      <c r="Y56" s="44">
        <f>Data!I112</f>
        <v>300</v>
      </c>
      <c r="Z56" s="31" t="s">
        <v>293</v>
      </c>
      <c r="AA56" s="31">
        <f>60*60*24*14</f>
        <v>1209600</v>
      </c>
      <c r="AB56" s="31" t="str">
        <f t="shared" si="13"/>
        <v>4</v>
      </c>
      <c r="AC56" s="34">
        <f>AVERAGE(Data!I112:BN112)</f>
        <v>403250</v>
      </c>
      <c r="AD56" s="31" t="str">
        <f t="shared" si="14"/>
        <v>3</v>
      </c>
      <c r="AE56" s="44">
        <f t="shared" si="15"/>
        <v>1209300</v>
      </c>
      <c r="AF56" s="45">
        <f>Data!I113</f>
        <v>0.92177419354838697</v>
      </c>
      <c r="AG56" s="34">
        <f>((Data!J113-Data!I113)+(Data!K113-Data!J113)+(Data!L113-Data!K113)+(Data!M113-Data!L113)+(Data!N113-Data!M113))/5</f>
        <v>-0.12763608870967741</v>
      </c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</row>
    <row r="57" spans="1:118" s="9" customFormat="1" ht="12" customHeight="1" x14ac:dyDescent="0.2">
      <c r="A57" s="27">
        <v>43906</v>
      </c>
      <c r="B57" s="32" t="s">
        <v>302</v>
      </c>
      <c r="C57" s="32" t="s">
        <v>301</v>
      </c>
      <c r="D57" s="31">
        <v>2009</v>
      </c>
      <c r="E57" s="44">
        <v>2</v>
      </c>
      <c r="F57" s="31">
        <v>161</v>
      </c>
      <c r="G57" s="51">
        <v>26.8</v>
      </c>
      <c r="H57" s="31" t="s">
        <v>304</v>
      </c>
      <c r="I57" s="31"/>
      <c r="J57" s="31" t="s">
        <v>292</v>
      </c>
      <c r="K57" s="31">
        <f t="shared" si="8"/>
        <v>32</v>
      </c>
      <c r="L57" s="31">
        <f t="shared" si="9"/>
        <v>5</v>
      </c>
      <c r="M57" s="31">
        <v>1</v>
      </c>
      <c r="N57" s="43">
        <v>4</v>
      </c>
      <c r="O57" s="31">
        <v>0</v>
      </c>
      <c r="P57" s="31"/>
      <c r="Q57" s="31" t="s">
        <v>45</v>
      </c>
      <c r="R57" s="31">
        <f t="shared" si="10"/>
        <v>2</v>
      </c>
      <c r="S57" s="31" t="s">
        <v>11</v>
      </c>
      <c r="T57" s="31" t="s">
        <v>163</v>
      </c>
      <c r="U57" s="31">
        <f t="shared" si="11"/>
        <v>0</v>
      </c>
      <c r="V57" s="31">
        <v>23</v>
      </c>
      <c r="W57" s="31">
        <f t="shared" si="12"/>
        <v>3703</v>
      </c>
      <c r="X57" s="31">
        <v>6</v>
      </c>
      <c r="Y57" s="44">
        <f>Data!I114</f>
        <v>300</v>
      </c>
      <c r="Z57" s="31" t="s">
        <v>305</v>
      </c>
      <c r="AA57" s="31">
        <f>60*60*24*168</f>
        <v>14515200</v>
      </c>
      <c r="AB57" s="31" t="str">
        <f t="shared" si="13"/>
        <v>4</v>
      </c>
      <c r="AC57" s="34">
        <f>AVERAGE(Data!I114:BN114)</f>
        <v>4147250</v>
      </c>
      <c r="AD57" s="31" t="str">
        <f t="shared" si="14"/>
        <v>4</v>
      </c>
      <c r="AE57" s="44">
        <f t="shared" si="15"/>
        <v>14514900</v>
      </c>
      <c r="AF57" s="45">
        <f>Data!I115</f>
        <v>0.96</v>
      </c>
      <c r="AG57" s="34">
        <f>((Data!J115-Data!I115)+(Data!K115-Data!J115)+(Data!L115-Data!K115)+(Data!M115-Data!L115)+(Data!N115-Data!M115))/5</f>
        <v>-0.14799999999999999</v>
      </c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</row>
    <row r="58" spans="1:118" s="3" customFormat="1" ht="12" customHeight="1" x14ac:dyDescent="0.2">
      <c r="A58" s="27">
        <v>43906</v>
      </c>
      <c r="B58" s="32" t="s">
        <v>302</v>
      </c>
      <c r="C58" s="32" t="s">
        <v>301</v>
      </c>
      <c r="D58" s="31">
        <v>2009</v>
      </c>
      <c r="E58" s="44">
        <v>2</v>
      </c>
      <c r="F58" s="31">
        <v>161</v>
      </c>
      <c r="G58" s="51">
        <v>26.8</v>
      </c>
      <c r="H58" s="31" t="s">
        <v>304</v>
      </c>
      <c r="I58" s="31"/>
      <c r="J58" s="31" t="s">
        <v>396</v>
      </c>
      <c r="K58" s="31">
        <f t="shared" si="8"/>
        <v>11</v>
      </c>
      <c r="L58" s="31">
        <f t="shared" si="9"/>
        <v>2</v>
      </c>
      <c r="M58" s="31">
        <v>1</v>
      </c>
      <c r="N58" s="43">
        <v>3</v>
      </c>
      <c r="O58" s="31">
        <v>0</v>
      </c>
      <c r="P58" s="31"/>
      <c r="Q58" s="31" t="s">
        <v>45</v>
      </c>
      <c r="R58" s="31">
        <f t="shared" si="10"/>
        <v>2</v>
      </c>
      <c r="S58" s="31" t="s">
        <v>11</v>
      </c>
      <c r="T58" s="31" t="s">
        <v>163</v>
      </c>
      <c r="U58" s="31">
        <f t="shared" si="11"/>
        <v>0</v>
      </c>
      <c r="V58" s="31">
        <v>23</v>
      </c>
      <c r="W58" s="31">
        <f t="shared" si="12"/>
        <v>3703</v>
      </c>
      <c r="X58" s="31">
        <v>6</v>
      </c>
      <c r="Y58" s="44">
        <f>Data!I116</f>
        <v>300</v>
      </c>
      <c r="Z58" s="31" t="s">
        <v>305</v>
      </c>
      <c r="AA58" s="31">
        <f>60*60*24*168</f>
        <v>14515200</v>
      </c>
      <c r="AB58" s="31" t="str">
        <f t="shared" si="13"/>
        <v>4</v>
      </c>
      <c r="AC58" s="34">
        <f>AVERAGE(Data!I116:BN116)</f>
        <v>4147250</v>
      </c>
      <c r="AD58" s="31" t="str">
        <f t="shared" si="14"/>
        <v>4</v>
      </c>
      <c r="AE58" s="44">
        <f t="shared" si="15"/>
        <v>14514900</v>
      </c>
      <c r="AF58" s="45">
        <f>Data!I117</f>
        <v>0.93</v>
      </c>
      <c r="AG58" s="34">
        <f>((Data!J117-Data!I117)+(Data!K117-Data!J117)+(Data!L117-Data!K117)+(Data!M117-Data!L117)+(Data!N117-Data!M117))/5</f>
        <v>-0.17400000000000002</v>
      </c>
      <c r="DN58" s="9"/>
    </row>
    <row r="59" spans="1:118" s="3" customFormat="1" ht="12" customHeight="1" x14ac:dyDescent="0.2">
      <c r="A59" s="27">
        <v>43895</v>
      </c>
      <c r="B59" s="1" t="s">
        <v>205</v>
      </c>
      <c r="C59" s="1" t="s">
        <v>36</v>
      </c>
      <c r="D59" s="23">
        <v>1983</v>
      </c>
      <c r="E59" s="38">
        <v>1</v>
      </c>
      <c r="F59" s="23">
        <v>10</v>
      </c>
      <c r="G59" s="23">
        <v>10</v>
      </c>
      <c r="H59" s="23" t="s">
        <v>146</v>
      </c>
      <c r="I59" s="23" t="s">
        <v>197</v>
      </c>
      <c r="J59" s="23" t="s">
        <v>208</v>
      </c>
      <c r="K59" s="23">
        <f t="shared" si="8"/>
        <v>26</v>
      </c>
      <c r="L59" s="23">
        <f t="shared" si="9"/>
        <v>4</v>
      </c>
      <c r="M59" s="25">
        <v>1</v>
      </c>
      <c r="N59" s="22">
        <v>3</v>
      </c>
      <c r="O59" s="25">
        <v>0</v>
      </c>
      <c r="P59" s="23"/>
      <c r="Q59" s="25" t="s">
        <v>111</v>
      </c>
      <c r="R59" s="23">
        <f t="shared" si="10"/>
        <v>4</v>
      </c>
      <c r="S59" s="23" t="s">
        <v>11</v>
      </c>
      <c r="T59" s="22" t="s">
        <v>342</v>
      </c>
      <c r="U59" s="23">
        <f t="shared" si="11"/>
        <v>1</v>
      </c>
      <c r="V59" s="22">
        <v>132</v>
      </c>
      <c r="W59" s="23">
        <f t="shared" si="12"/>
        <v>1320</v>
      </c>
      <c r="X59" s="23">
        <v>5</v>
      </c>
      <c r="Y59" s="38">
        <f>Data!I118</f>
        <v>157680000</v>
      </c>
      <c r="Z59" s="23" t="s">
        <v>229</v>
      </c>
      <c r="AA59" s="23">
        <f>45*365*24*60*60</f>
        <v>1419120000</v>
      </c>
      <c r="AB59" s="23" t="str">
        <f t="shared" si="13"/>
        <v>4</v>
      </c>
      <c r="AC59" s="19">
        <f>AVERAGE(Data!I118:BN118)</f>
        <v>788400000</v>
      </c>
      <c r="AD59" s="23" t="str">
        <f t="shared" si="14"/>
        <v>4</v>
      </c>
      <c r="AE59" s="38">
        <f t="shared" si="15"/>
        <v>1261440000</v>
      </c>
      <c r="AF59" s="41">
        <f>Data!I119</f>
        <v>0.79032258064516125</v>
      </c>
      <c r="AG59" s="21">
        <f>((Data!J119-Data!I119)+(Data!K119-Data!J119)+(Data!L119-Data!K119)+(Data!M119-Data!L119))/4</f>
        <v>-3.7030941408821572E-3</v>
      </c>
      <c r="DN59" s="4"/>
    </row>
    <row r="60" spans="1:118" s="3" customFormat="1" ht="12" customHeight="1" x14ac:dyDescent="0.2">
      <c r="A60" s="27">
        <v>43895</v>
      </c>
      <c r="B60" s="1" t="s">
        <v>209</v>
      </c>
      <c r="C60" s="1" t="s">
        <v>210</v>
      </c>
      <c r="D60" s="23">
        <v>1981</v>
      </c>
      <c r="E60" s="37">
        <v>1</v>
      </c>
      <c r="F60" s="23">
        <v>28</v>
      </c>
      <c r="G60" s="23">
        <v>28</v>
      </c>
      <c r="H60" s="23" t="s">
        <v>26</v>
      </c>
      <c r="I60" s="23" t="s">
        <v>197</v>
      </c>
      <c r="J60" s="23" t="s">
        <v>208</v>
      </c>
      <c r="K60" s="23">
        <f t="shared" si="8"/>
        <v>26</v>
      </c>
      <c r="L60" s="23">
        <f t="shared" si="9"/>
        <v>4</v>
      </c>
      <c r="M60" s="23">
        <v>1</v>
      </c>
      <c r="N60" s="24">
        <v>2</v>
      </c>
      <c r="O60" s="23">
        <v>0</v>
      </c>
      <c r="P60" s="23"/>
      <c r="Q60" s="23" t="s">
        <v>106</v>
      </c>
      <c r="R60" s="23">
        <f t="shared" si="10"/>
        <v>1</v>
      </c>
      <c r="S60" s="25" t="s">
        <v>31</v>
      </c>
      <c r="T60" s="22" t="s">
        <v>342</v>
      </c>
      <c r="U60" s="23">
        <f t="shared" si="11"/>
        <v>1</v>
      </c>
      <c r="V60" s="22">
        <v>130</v>
      </c>
      <c r="W60" s="23">
        <f t="shared" si="12"/>
        <v>3640</v>
      </c>
      <c r="X60" s="23">
        <v>5</v>
      </c>
      <c r="Y60" s="38">
        <f>Data!I120</f>
        <v>157680000</v>
      </c>
      <c r="Z60" s="22" t="s">
        <v>229</v>
      </c>
      <c r="AA60" s="23">
        <f>45*365*24*60*60</f>
        <v>1419120000</v>
      </c>
      <c r="AB60" s="23" t="str">
        <f t="shared" si="13"/>
        <v>4</v>
      </c>
      <c r="AC60" s="19">
        <f>AVERAGE(Data!I120:BN120)</f>
        <v>788400000</v>
      </c>
      <c r="AD60" s="23" t="str">
        <f t="shared" si="14"/>
        <v>4</v>
      </c>
      <c r="AE60" s="38">
        <f t="shared" si="15"/>
        <v>1261440000</v>
      </c>
      <c r="AF60" s="41">
        <f>Data!I121</f>
        <v>0.63380281690140849</v>
      </c>
      <c r="AG60" s="19">
        <f>((Data!J121-Data!I121)+(Data!K121-Data!J121)+(Data!L121-Data!K121)+(Data!M121-Data!L121))/4</f>
        <v>-4.08036454018227E-2</v>
      </c>
      <c r="DN60" s="4"/>
    </row>
    <row r="61" spans="1:118" s="3" customFormat="1" ht="12" customHeight="1" x14ac:dyDescent="0.2">
      <c r="A61" s="27">
        <v>43509</v>
      </c>
      <c r="B61" s="54" t="s">
        <v>133</v>
      </c>
      <c r="C61" s="32" t="s">
        <v>123</v>
      </c>
      <c r="D61" s="31">
        <v>1991</v>
      </c>
      <c r="E61" s="44">
        <v>1</v>
      </c>
      <c r="F61" s="31">
        <v>373</v>
      </c>
      <c r="G61" s="31">
        <v>31.1</v>
      </c>
      <c r="H61" s="31" t="s">
        <v>32</v>
      </c>
      <c r="I61" s="31" t="s">
        <v>63</v>
      </c>
      <c r="J61" s="31" t="s">
        <v>63</v>
      </c>
      <c r="K61" s="31">
        <f t="shared" si="8"/>
        <v>33</v>
      </c>
      <c r="L61" s="31">
        <f t="shared" si="9"/>
        <v>5</v>
      </c>
      <c r="M61" s="31">
        <v>1</v>
      </c>
      <c r="N61" s="31">
        <v>4</v>
      </c>
      <c r="O61" s="31">
        <v>0</v>
      </c>
      <c r="P61" s="31"/>
      <c r="Q61" s="31" t="s">
        <v>23</v>
      </c>
      <c r="R61" s="31">
        <f t="shared" si="10"/>
        <v>3</v>
      </c>
      <c r="S61" s="31" t="s">
        <v>11</v>
      </c>
      <c r="T61" s="46" t="s">
        <v>163</v>
      </c>
      <c r="U61" s="31">
        <f t="shared" si="11"/>
        <v>0</v>
      </c>
      <c r="V61" s="46">
        <v>16</v>
      </c>
      <c r="W61" s="31">
        <f t="shared" si="12"/>
        <v>5968</v>
      </c>
      <c r="X61" s="31">
        <v>12</v>
      </c>
      <c r="Y61" s="44">
        <f>Data!I122</f>
        <v>7776000</v>
      </c>
      <c r="Z61" s="31" t="s">
        <v>310</v>
      </c>
      <c r="AA61" s="44">
        <f>(10*365*24*60*60)+(6*30*24*60*60)</f>
        <v>330912000</v>
      </c>
      <c r="AB61" s="31" t="str">
        <f t="shared" si="13"/>
        <v>4</v>
      </c>
      <c r="AC61" s="34">
        <f>AVERAGE(Data!I122:BN122)</f>
        <v>165384000</v>
      </c>
      <c r="AD61" s="31" t="str">
        <f t="shared" si="14"/>
        <v>4</v>
      </c>
      <c r="AE61" s="44">
        <f t="shared" si="15"/>
        <v>323136000</v>
      </c>
      <c r="AF61" s="45">
        <f>Data!I123</f>
        <v>0.80394842868654293</v>
      </c>
      <c r="AG61" s="34">
        <f>((Data!J123-Data!I123)+(Data!K123-Data!J123)+(Data!L123-Data!K123)+(Data!M123-Data!L123)+(Data!N123-Data!M123)+(Data!O123-Data!N123)+(Data!P123-Data!O123)+(Data!Q123-Data!P123)+(Data!R123-Data!Q123)+(Data!S123-Data!R123)+(Data!T123-Data!S123))/11</f>
        <v>-1.1076111640172909E-2</v>
      </c>
    </row>
    <row r="62" spans="1:118" s="3" customFormat="1" ht="12" customHeight="1" x14ac:dyDescent="0.2">
      <c r="A62" s="27">
        <v>43509</v>
      </c>
      <c r="B62" s="32" t="s">
        <v>133</v>
      </c>
      <c r="C62" s="32" t="s">
        <v>123</v>
      </c>
      <c r="D62" s="31">
        <v>1991</v>
      </c>
      <c r="E62" s="44">
        <v>1</v>
      </c>
      <c r="F62" s="31">
        <v>373</v>
      </c>
      <c r="G62" s="31">
        <v>31.1</v>
      </c>
      <c r="H62" s="31" t="s">
        <v>32</v>
      </c>
      <c r="I62" s="31" t="s">
        <v>124</v>
      </c>
      <c r="J62" s="31" t="s">
        <v>124</v>
      </c>
      <c r="K62" s="31">
        <f t="shared" si="8"/>
        <v>13</v>
      </c>
      <c r="L62" s="31">
        <f t="shared" si="9"/>
        <v>2</v>
      </c>
      <c r="M62" s="31">
        <v>1</v>
      </c>
      <c r="N62" s="31">
        <v>2</v>
      </c>
      <c r="O62" s="31">
        <v>0</v>
      </c>
      <c r="P62" s="31"/>
      <c r="Q62" s="31" t="s">
        <v>23</v>
      </c>
      <c r="R62" s="31">
        <f t="shared" si="10"/>
        <v>3</v>
      </c>
      <c r="S62" s="31" t="s">
        <v>11</v>
      </c>
      <c r="T62" s="46" t="s">
        <v>163</v>
      </c>
      <c r="U62" s="31">
        <f t="shared" si="11"/>
        <v>0</v>
      </c>
      <c r="V62" s="46">
        <v>16</v>
      </c>
      <c r="W62" s="31">
        <f t="shared" si="12"/>
        <v>5968</v>
      </c>
      <c r="X62" s="31">
        <v>12</v>
      </c>
      <c r="Y62" s="44">
        <f>Data!I124</f>
        <v>7776000</v>
      </c>
      <c r="Z62" s="31" t="s">
        <v>310</v>
      </c>
      <c r="AA62" s="44">
        <f>(10*365*24*60*60)+(6*30*24*60*60)</f>
        <v>330912000</v>
      </c>
      <c r="AB62" s="31" t="str">
        <f t="shared" si="13"/>
        <v>4</v>
      </c>
      <c r="AC62" s="34">
        <f>AVERAGE(Data!I124:BN124)</f>
        <v>165384000</v>
      </c>
      <c r="AD62" s="31" t="str">
        <f t="shared" si="14"/>
        <v>4</v>
      </c>
      <c r="AE62" s="44">
        <f t="shared" si="15"/>
        <v>323136000</v>
      </c>
      <c r="AF62" s="45">
        <f>Data!I125</f>
        <v>0.78557614826752598</v>
      </c>
      <c r="AG62" s="34">
        <f>((Data!J125-Data!I125)+(Data!K125-Data!J125)+(Data!L125-Data!K125)+(Data!M125-Data!L125)+(Data!N125-Data!M125)+(Data!O125-Data!N125)+(Data!P125-Data!O125)+(Data!Q125-Data!P125)+(Data!R125-Data!Q125)+(Data!S125-Data!R125)+(Data!T125-Data!S125))/11</f>
        <v>-1.0506922569775085E-2</v>
      </c>
    </row>
    <row r="63" spans="1:118" s="3" customFormat="1" ht="12" customHeight="1" x14ac:dyDescent="0.2">
      <c r="A63" s="27">
        <v>43509</v>
      </c>
      <c r="B63" s="32" t="s">
        <v>133</v>
      </c>
      <c r="C63" s="32" t="s">
        <v>123</v>
      </c>
      <c r="D63" s="31">
        <v>1991</v>
      </c>
      <c r="E63" s="44">
        <v>1</v>
      </c>
      <c r="F63" s="31">
        <v>373</v>
      </c>
      <c r="G63" s="31">
        <v>31.1</v>
      </c>
      <c r="H63" s="31" t="s">
        <v>25</v>
      </c>
      <c r="I63" s="31" t="s">
        <v>63</v>
      </c>
      <c r="J63" s="31" t="s">
        <v>63</v>
      </c>
      <c r="K63" s="31">
        <f t="shared" si="8"/>
        <v>33</v>
      </c>
      <c r="L63" s="31">
        <f t="shared" si="9"/>
        <v>5</v>
      </c>
      <c r="M63" s="31">
        <v>1</v>
      </c>
      <c r="N63" s="31">
        <v>4</v>
      </c>
      <c r="O63" s="31">
        <v>0</v>
      </c>
      <c r="P63" s="31"/>
      <c r="Q63" s="31" t="s">
        <v>106</v>
      </c>
      <c r="R63" s="31">
        <f t="shared" si="10"/>
        <v>1</v>
      </c>
      <c r="S63" s="51" t="s">
        <v>31</v>
      </c>
      <c r="T63" s="46" t="s">
        <v>163</v>
      </c>
      <c r="U63" s="31">
        <f t="shared" si="11"/>
        <v>0</v>
      </c>
      <c r="V63" s="46">
        <v>12</v>
      </c>
      <c r="W63" s="31">
        <f t="shared" si="12"/>
        <v>4476</v>
      </c>
      <c r="X63" s="31">
        <v>12</v>
      </c>
      <c r="Y63" s="44">
        <f>Data!I126</f>
        <v>7776000</v>
      </c>
      <c r="Z63" s="31" t="s">
        <v>310</v>
      </c>
      <c r="AA63" s="44">
        <f>(10*365*24*60*60)+(6*30*24*60*60)</f>
        <v>330912000</v>
      </c>
      <c r="AB63" s="31" t="str">
        <f t="shared" si="13"/>
        <v>4</v>
      </c>
      <c r="AC63" s="34">
        <f>AVERAGE(Data!I126:BN126)</f>
        <v>165384000</v>
      </c>
      <c r="AD63" s="31" t="str">
        <f t="shared" si="14"/>
        <v>4</v>
      </c>
      <c r="AE63" s="44">
        <f t="shared" si="15"/>
        <v>323136000</v>
      </c>
      <c r="AF63" s="45">
        <f>Data!I127</f>
        <v>0.60232787750619898</v>
      </c>
      <c r="AG63" s="34">
        <f>((Data!J127-Data!I127)+(Data!K127-Data!J127)+(Data!L127-Data!K127)+(Data!M127-Data!L127)+(Data!N127-Data!M127)+(Data!O127-Data!N127)+(Data!P127-Data!O127)+(Data!Q127-Data!P127)+(Data!R127-Data!Q127)+(Data!S127-Data!R127)+(Data!T127-Data!S127))/11</f>
        <v>-3.1739311133815347E-2</v>
      </c>
    </row>
    <row r="64" spans="1:118" s="3" customFormat="1" ht="12" customHeight="1" x14ac:dyDescent="0.2">
      <c r="A64" s="27">
        <v>43509</v>
      </c>
      <c r="B64" s="32" t="s">
        <v>133</v>
      </c>
      <c r="C64" s="32" t="s">
        <v>123</v>
      </c>
      <c r="D64" s="31">
        <v>1991</v>
      </c>
      <c r="E64" s="44">
        <v>1</v>
      </c>
      <c r="F64" s="31">
        <v>373</v>
      </c>
      <c r="G64" s="31">
        <v>31.1</v>
      </c>
      <c r="H64" s="31" t="s">
        <v>25</v>
      </c>
      <c r="I64" s="31" t="s">
        <v>124</v>
      </c>
      <c r="J64" s="31" t="s">
        <v>124</v>
      </c>
      <c r="K64" s="31">
        <f t="shared" si="8"/>
        <v>13</v>
      </c>
      <c r="L64" s="31">
        <f t="shared" si="9"/>
        <v>2</v>
      </c>
      <c r="M64" s="31">
        <v>1</v>
      </c>
      <c r="N64" s="31">
        <v>2</v>
      </c>
      <c r="O64" s="31">
        <v>0</v>
      </c>
      <c r="P64" s="31"/>
      <c r="Q64" s="31" t="s">
        <v>106</v>
      </c>
      <c r="R64" s="31">
        <f t="shared" si="10"/>
        <v>1</v>
      </c>
      <c r="S64" s="51" t="s">
        <v>31</v>
      </c>
      <c r="T64" s="46" t="s">
        <v>163</v>
      </c>
      <c r="U64" s="31">
        <f t="shared" si="11"/>
        <v>0</v>
      </c>
      <c r="V64" s="46">
        <v>12</v>
      </c>
      <c r="W64" s="31">
        <f t="shared" si="12"/>
        <v>4476</v>
      </c>
      <c r="X64" s="31">
        <v>12</v>
      </c>
      <c r="Y64" s="44">
        <f>Data!I128</f>
        <v>7776000</v>
      </c>
      <c r="Z64" s="31" t="s">
        <v>310</v>
      </c>
      <c r="AA64" s="44">
        <f>(10*365*24*60*60)+(6*30*24*60*60)</f>
        <v>330912000</v>
      </c>
      <c r="AB64" s="31" t="str">
        <f t="shared" si="13"/>
        <v>4</v>
      </c>
      <c r="AC64" s="34">
        <f>AVERAGE(Data!I128:BN128)</f>
        <v>165384000</v>
      </c>
      <c r="AD64" s="31" t="str">
        <f t="shared" si="14"/>
        <v>4</v>
      </c>
      <c r="AE64" s="44">
        <f t="shared" si="15"/>
        <v>323136000</v>
      </c>
      <c r="AF64" s="45">
        <f>Data!I129</f>
        <v>0.56316941956212097</v>
      </c>
      <c r="AG64" s="34">
        <f>((Data!J129-Data!I129)+(Data!K129-Data!J129)+(Data!L129-Data!K129)+(Data!M129-Data!L129)+(Data!N129-Data!M129)+(Data!O129-Data!N129)+(Data!P129-Data!O129)+(Data!Q129-Data!P129)+(Data!R129-Data!Q129)+(Data!S129-Data!R129)+(Data!T129-Data!S129))/11</f>
        <v>-1.7724649629018898E-2</v>
      </c>
      <c r="DN64" s="4"/>
    </row>
    <row r="65" spans="1:117" s="3" customFormat="1" ht="12" customHeight="1" x14ac:dyDescent="0.25">
      <c r="A65" s="27">
        <v>43903</v>
      </c>
      <c r="B65" s="5" t="s">
        <v>295</v>
      </c>
      <c r="C65" s="5" t="s">
        <v>164</v>
      </c>
      <c r="D65" s="22">
        <v>2020</v>
      </c>
      <c r="E65" s="37">
        <v>1</v>
      </c>
      <c r="F65" s="22">
        <v>230</v>
      </c>
      <c r="G65" s="22">
        <v>28.8</v>
      </c>
      <c r="H65" s="22" t="s">
        <v>433</v>
      </c>
      <c r="I65" s="22" t="s">
        <v>494</v>
      </c>
      <c r="J65" s="26" t="s">
        <v>297</v>
      </c>
      <c r="K65" s="23">
        <f t="shared" si="8"/>
        <v>45</v>
      </c>
      <c r="L65" s="23">
        <f t="shared" si="9"/>
        <v>7</v>
      </c>
      <c r="M65" s="22">
        <v>0</v>
      </c>
      <c r="N65" s="23">
        <v>3</v>
      </c>
      <c r="O65" s="22">
        <v>0</v>
      </c>
      <c r="P65" s="22"/>
      <c r="Q65" s="22" t="s">
        <v>111</v>
      </c>
      <c r="R65" s="23">
        <f t="shared" si="10"/>
        <v>4</v>
      </c>
      <c r="S65" s="22" t="s">
        <v>296</v>
      </c>
      <c r="T65" s="22" t="s">
        <v>163</v>
      </c>
      <c r="U65" s="23">
        <f t="shared" si="11"/>
        <v>0</v>
      </c>
      <c r="V65" s="22">
        <v>12</v>
      </c>
      <c r="W65" s="23">
        <f t="shared" si="12"/>
        <v>2760</v>
      </c>
      <c r="X65" s="23">
        <v>8</v>
      </c>
      <c r="Y65" s="38">
        <f>Data!I130</f>
        <v>15768000</v>
      </c>
      <c r="Z65" s="22" t="s">
        <v>298</v>
      </c>
      <c r="AA65" s="23">
        <f t="shared" ref="AA65:AA79" si="17">7.5*365*24*60*60</f>
        <v>236520000</v>
      </c>
      <c r="AB65" s="23" t="str">
        <f t="shared" si="13"/>
        <v>4</v>
      </c>
      <c r="AC65" s="19">
        <f>AVERAGE(Data!I130:BN130)</f>
        <v>70956000</v>
      </c>
      <c r="AD65" s="23" t="str">
        <f t="shared" si="14"/>
        <v>4</v>
      </c>
      <c r="AE65" s="38">
        <f t="shared" si="15"/>
        <v>220752000</v>
      </c>
      <c r="AF65" s="41">
        <f>Data!I131</f>
        <v>0.5625</v>
      </c>
      <c r="AG65" s="19">
        <f>((Data!J131-Data!I131)+(Data!K131-Data!J131)+(Data!L131-Data!K131)+(Data!M131-Data!L131)+(Data!N131-Data!M131)+(Data!O131-Data!N131)+(Data!P131-Data!O131))/7</f>
        <v>-1.7351576999999983E-2</v>
      </c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</row>
    <row r="66" spans="1:117" s="3" customFormat="1" ht="12" customHeight="1" x14ac:dyDescent="0.25">
      <c r="A66" s="27">
        <v>43903</v>
      </c>
      <c r="B66" s="5" t="s">
        <v>295</v>
      </c>
      <c r="C66" s="5" t="s">
        <v>164</v>
      </c>
      <c r="D66" s="22">
        <v>2020</v>
      </c>
      <c r="E66" s="37">
        <v>1</v>
      </c>
      <c r="F66" s="22">
        <v>230</v>
      </c>
      <c r="G66" s="22">
        <v>28.8</v>
      </c>
      <c r="H66" s="22" t="s">
        <v>433</v>
      </c>
      <c r="I66" s="22" t="s">
        <v>420</v>
      </c>
      <c r="J66" s="26" t="s">
        <v>297</v>
      </c>
      <c r="K66" s="23">
        <f t="shared" si="8"/>
        <v>45</v>
      </c>
      <c r="L66" s="23">
        <f t="shared" si="9"/>
        <v>7</v>
      </c>
      <c r="M66" s="22">
        <v>0</v>
      </c>
      <c r="N66" s="23">
        <v>3</v>
      </c>
      <c r="O66" s="22">
        <v>0</v>
      </c>
      <c r="P66" s="22"/>
      <c r="Q66" s="22" t="s">
        <v>111</v>
      </c>
      <c r="R66" s="23">
        <f t="shared" si="10"/>
        <v>4</v>
      </c>
      <c r="S66" s="22" t="s">
        <v>296</v>
      </c>
      <c r="T66" s="22" t="s">
        <v>163</v>
      </c>
      <c r="U66" s="23">
        <f t="shared" si="11"/>
        <v>0</v>
      </c>
      <c r="V66" s="22">
        <v>12</v>
      </c>
      <c r="W66" s="23">
        <f t="shared" si="12"/>
        <v>2760</v>
      </c>
      <c r="X66" s="23">
        <v>8</v>
      </c>
      <c r="Y66" s="38">
        <f>Data!I132</f>
        <v>15768000</v>
      </c>
      <c r="Z66" s="22" t="s">
        <v>298</v>
      </c>
      <c r="AA66" s="23">
        <f t="shared" si="17"/>
        <v>236520000</v>
      </c>
      <c r="AB66" s="23" t="str">
        <f t="shared" si="13"/>
        <v>4</v>
      </c>
      <c r="AC66" s="19">
        <f>AVERAGE(Data!I132:BN132)</f>
        <v>70956000</v>
      </c>
      <c r="AD66" s="23" t="str">
        <f t="shared" si="14"/>
        <v>4</v>
      </c>
      <c r="AE66" s="38">
        <f t="shared" si="15"/>
        <v>220752000</v>
      </c>
      <c r="AF66" s="41">
        <f>Data!I133</f>
        <v>0.64663461524999999</v>
      </c>
      <c r="AG66" s="19">
        <f>((Data!J133-Data!I133)+(Data!K133-Data!J133)+(Data!L133-Data!K133)+(Data!M133-Data!L133)+(Data!N133-Data!M133)+(Data!O133-Data!N133)+(Data!P133-Data!O133))/7</f>
        <v>-3.6165917412337663E-2</v>
      </c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</row>
    <row r="67" spans="1:117" s="3" customFormat="1" ht="12" customHeight="1" x14ac:dyDescent="0.25">
      <c r="A67" s="27">
        <v>43903</v>
      </c>
      <c r="B67" s="5" t="s">
        <v>295</v>
      </c>
      <c r="C67" s="5" t="s">
        <v>164</v>
      </c>
      <c r="D67" s="22">
        <v>2020</v>
      </c>
      <c r="E67" s="37">
        <v>1</v>
      </c>
      <c r="F67" s="22">
        <v>230</v>
      </c>
      <c r="G67" s="22">
        <v>28.8</v>
      </c>
      <c r="H67" s="22" t="s">
        <v>433</v>
      </c>
      <c r="I67" s="22" t="s">
        <v>464</v>
      </c>
      <c r="J67" s="26" t="s">
        <v>297</v>
      </c>
      <c r="K67" s="23">
        <f t="shared" si="8"/>
        <v>45</v>
      </c>
      <c r="L67" s="23">
        <f t="shared" si="9"/>
        <v>7</v>
      </c>
      <c r="M67" s="22">
        <v>0</v>
      </c>
      <c r="N67" s="23">
        <v>3</v>
      </c>
      <c r="O67" s="22">
        <v>0</v>
      </c>
      <c r="P67" s="22"/>
      <c r="Q67" s="22" t="s">
        <v>111</v>
      </c>
      <c r="R67" s="23">
        <f t="shared" si="10"/>
        <v>4</v>
      </c>
      <c r="S67" s="22" t="s">
        <v>296</v>
      </c>
      <c r="T67" s="22" t="s">
        <v>163</v>
      </c>
      <c r="U67" s="23">
        <f t="shared" si="11"/>
        <v>0</v>
      </c>
      <c r="V67" s="22">
        <v>12</v>
      </c>
      <c r="W67" s="23">
        <f t="shared" si="12"/>
        <v>2760</v>
      </c>
      <c r="X67" s="23">
        <v>8</v>
      </c>
      <c r="Y67" s="38">
        <f>Data!I134</f>
        <v>15768000</v>
      </c>
      <c r="Z67" s="22" t="s">
        <v>298</v>
      </c>
      <c r="AA67" s="23">
        <f t="shared" si="17"/>
        <v>236520000</v>
      </c>
      <c r="AB67" s="23" t="str">
        <f t="shared" si="13"/>
        <v>4</v>
      </c>
      <c r="AC67" s="19">
        <f>AVERAGE(Data!I134:BN134)</f>
        <v>70956000</v>
      </c>
      <c r="AD67" s="23" t="str">
        <f t="shared" si="14"/>
        <v>4</v>
      </c>
      <c r="AE67" s="38">
        <f t="shared" si="15"/>
        <v>220752000</v>
      </c>
      <c r="AF67" s="41">
        <f>Data!I135</f>
        <v>0.68750000025000002</v>
      </c>
      <c r="AG67" s="19">
        <f>((Data!J135-Data!I135)+(Data!K135-Data!J135)+(Data!L135-Data!K135)+(Data!M135-Data!L135)+(Data!N135-Data!M135)+(Data!O135-Data!N135)+(Data!P135-Data!O135))/7</f>
        <v>-2.7497721620129867E-2</v>
      </c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</row>
    <row r="68" spans="1:117" s="3" customFormat="1" ht="12" customHeight="1" x14ac:dyDescent="0.25">
      <c r="A68" s="27">
        <v>43903</v>
      </c>
      <c r="B68" s="5" t="s">
        <v>295</v>
      </c>
      <c r="C68" s="5" t="s">
        <v>164</v>
      </c>
      <c r="D68" s="22">
        <v>2020</v>
      </c>
      <c r="E68" s="37">
        <v>1</v>
      </c>
      <c r="F68" s="22">
        <v>230</v>
      </c>
      <c r="G68" s="22">
        <v>28.8</v>
      </c>
      <c r="H68" s="22" t="s">
        <v>433</v>
      </c>
      <c r="I68" s="22" t="s">
        <v>424</v>
      </c>
      <c r="J68" s="26" t="s">
        <v>297</v>
      </c>
      <c r="K68" s="23">
        <f t="shared" si="8"/>
        <v>45</v>
      </c>
      <c r="L68" s="23">
        <f t="shared" si="9"/>
        <v>7</v>
      </c>
      <c r="M68" s="22">
        <v>0</v>
      </c>
      <c r="N68" s="23">
        <v>3</v>
      </c>
      <c r="O68" s="22">
        <v>0</v>
      </c>
      <c r="P68" s="22"/>
      <c r="Q68" s="22" t="s">
        <v>111</v>
      </c>
      <c r="R68" s="23">
        <f t="shared" si="10"/>
        <v>4</v>
      </c>
      <c r="S68" s="22" t="s">
        <v>296</v>
      </c>
      <c r="T68" s="22" t="s">
        <v>163</v>
      </c>
      <c r="U68" s="23">
        <f t="shared" si="11"/>
        <v>0</v>
      </c>
      <c r="V68" s="22">
        <v>12</v>
      </c>
      <c r="W68" s="23">
        <f t="shared" si="12"/>
        <v>2760</v>
      </c>
      <c r="X68" s="23">
        <v>8</v>
      </c>
      <c r="Y68" s="38">
        <f>Data!I136</f>
        <v>15768000</v>
      </c>
      <c r="Z68" s="22" t="s">
        <v>298</v>
      </c>
      <c r="AA68" s="23">
        <f t="shared" si="17"/>
        <v>236520000</v>
      </c>
      <c r="AB68" s="23" t="str">
        <f t="shared" si="13"/>
        <v>4</v>
      </c>
      <c r="AC68" s="19">
        <f>AVERAGE(Data!I136:BN136)</f>
        <v>70956000</v>
      </c>
      <c r="AD68" s="23" t="str">
        <f t="shared" si="14"/>
        <v>4</v>
      </c>
      <c r="AE68" s="38">
        <f t="shared" si="15"/>
        <v>220752000</v>
      </c>
      <c r="AF68" s="41">
        <f>Data!I137</f>
        <v>0.6015625</v>
      </c>
      <c r="AG68" s="19">
        <f>((Data!J137-Data!I137)+(Data!K137-Data!J137)+(Data!L137-Data!K137)+(Data!M137-Data!L137)+(Data!N137-Data!M137)+(Data!O137-Data!N137)+(Data!P137-Data!O137))/7</f>
        <v>-2.8486022896103889E-2</v>
      </c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</row>
    <row r="69" spans="1:117" s="3" customFormat="1" ht="12" customHeight="1" x14ac:dyDescent="0.25">
      <c r="A69" s="27">
        <v>43903</v>
      </c>
      <c r="B69" s="5" t="s">
        <v>295</v>
      </c>
      <c r="C69" s="5" t="s">
        <v>164</v>
      </c>
      <c r="D69" s="22">
        <v>2020</v>
      </c>
      <c r="E69" s="37">
        <v>1</v>
      </c>
      <c r="F69" s="22">
        <v>230</v>
      </c>
      <c r="G69" s="22">
        <v>28.8</v>
      </c>
      <c r="H69" s="22" t="s">
        <v>433</v>
      </c>
      <c r="I69" s="22" t="s">
        <v>495</v>
      </c>
      <c r="J69" s="26" t="s">
        <v>297</v>
      </c>
      <c r="K69" s="23">
        <f t="shared" si="8"/>
        <v>45</v>
      </c>
      <c r="L69" s="23">
        <f t="shared" si="9"/>
        <v>7</v>
      </c>
      <c r="M69" s="22">
        <v>0</v>
      </c>
      <c r="N69" s="23">
        <v>3</v>
      </c>
      <c r="O69" s="22">
        <v>0</v>
      </c>
      <c r="P69" s="22"/>
      <c r="Q69" s="22" t="s">
        <v>111</v>
      </c>
      <c r="R69" s="23">
        <f t="shared" si="10"/>
        <v>4</v>
      </c>
      <c r="S69" s="22" t="s">
        <v>296</v>
      </c>
      <c r="T69" s="22" t="s">
        <v>163</v>
      </c>
      <c r="U69" s="23">
        <f t="shared" si="11"/>
        <v>0</v>
      </c>
      <c r="V69" s="22">
        <v>12</v>
      </c>
      <c r="W69" s="23">
        <f t="shared" si="12"/>
        <v>2760</v>
      </c>
      <c r="X69" s="23">
        <v>8</v>
      </c>
      <c r="Y69" s="38">
        <f>Data!I138</f>
        <v>15768000</v>
      </c>
      <c r="Z69" s="22" t="s">
        <v>298</v>
      </c>
      <c r="AA69" s="23">
        <f t="shared" si="17"/>
        <v>236520000</v>
      </c>
      <c r="AB69" s="23" t="str">
        <f t="shared" si="13"/>
        <v>4</v>
      </c>
      <c r="AC69" s="19">
        <f>AVERAGE(Data!I138:BN138)</f>
        <v>70956000</v>
      </c>
      <c r="AD69" s="23" t="str">
        <f t="shared" si="14"/>
        <v>4</v>
      </c>
      <c r="AE69" s="38">
        <f t="shared" si="15"/>
        <v>220752000</v>
      </c>
      <c r="AF69" s="41">
        <f>Data!I139</f>
        <v>0.34855769237500001</v>
      </c>
      <c r="AG69" s="19">
        <f>((Data!J139-Data!I139)+(Data!K139-Data!J139)+(Data!L139-Data!K139)+(Data!M139-Data!L139)+(Data!N139-Data!M139)+(Data!O139-Data!N139)+(Data!P139-Data!O139))/7</f>
        <v>-1.0000416274350641E-2</v>
      </c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</row>
    <row r="70" spans="1:117" s="3" customFormat="1" ht="12" customHeight="1" x14ac:dyDescent="0.25">
      <c r="A70" s="27">
        <v>43903</v>
      </c>
      <c r="B70" s="5" t="s">
        <v>295</v>
      </c>
      <c r="C70" s="5" t="s">
        <v>164</v>
      </c>
      <c r="D70" s="22">
        <v>2020</v>
      </c>
      <c r="E70" s="37">
        <v>1</v>
      </c>
      <c r="F70" s="22">
        <v>230</v>
      </c>
      <c r="G70" s="22">
        <v>28.8</v>
      </c>
      <c r="H70" s="22" t="s">
        <v>433</v>
      </c>
      <c r="I70" s="22" t="s">
        <v>476</v>
      </c>
      <c r="J70" s="26" t="s">
        <v>297</v>
      </c>
      <c r="K70" s="23">
        <f t="shared" si="8"/>
        <v>45</v>
      </c>
      <c r="L70" s="23">
        <f t="shared" si="9"/>
        <v>7</v>
      </c>
      <c r="M70" s="22">
        <v>0</v>
      </c>
      <c r="N70" s="23">
        <v>3</v>
      </c>
      <c r="O70" s="22">
        <v>0</v>
      </c>
      <c r="P70" s="22"/>
      <c r="Q70" s="22" t="s">
        <v>111</v>
      </c>
      <c r="R70" s="23">
        <f t="shared" si="10"/>
        <v>4</v>
      </c>
      <c r="S70" s="22" t="s">
        <v>296</v>
      </c>
      <c r="T70" s="22" t="s">
        <v>163</v>
      </c>
      <c r="U70" s="23">
        <f t="shared" si="11"/>
        <v>0</v>
      </c>
      <c r="V70" s="22">
        <v>12</v>
      </c>
      <c r="W70" s="23">
        <f t="shared" si="12"/>
        <v>2760</v>
      </c>
      <c r="X70" s="23">
        <v>8</v>
      </c>
      <c r="Y70" s="38">
        <f>Data!I140</f>
        <v>15768000</v>
      </c>
      <c r="Z70" s="22" t="s">
        <v>298</v>
      </c>
      <c r="AA70" s="23">
        <f t="shared" si="17"/>
        <v>236520000</v>
      </c>
      <c r="AB70" s="23" t="str">
        <f t="shared" si="13"/>
        <v>4</v>
      </c>
      <c r="AC70" s="19">
        <f>AVERAGE(Data!I140:BN140)</f>
        <v>70956000</v>
      </c>
      <c r="AD70" s="23" t="str">
        <f t="shared" si="14"/>
        <v>4</v>
      </c>
      <c r="AE70" s="38">
        <f t="shared" si="15"/>
        <v>220752000</v>
      </c>
      <c r="AF70" s="41">
        <f>Data!I141</f>
        <v>0.64434523787499998</v>
      </c>
      <c r="AG70" s="19">
        <f>((Data!J141-Data!I141)+(Data!K141-Data!J141)+(Data!L141-Data!K141)+(Data!M141-Data!L141)+(Data!N141-Data!M141)+(Data!O141-Data!N141)+(Data!P141-Data!O141))/7</f>
        <v>-3.5463048839285707E-2</v>
      </c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</row>
    <row r="71" spans="1:117" s="3" customFormat="1" ht="12" customHeight="1" x14ac:dyDescent="0.25">
      <c r="A71" s="27">
        <v>43903</v>
      </c>
      <c r="B71" s="5" t="s">
        <v>295</v>
      </c>
      <c r="C71" s="5" t="s">
        <v>164</v>
      </c>
      <c r="D71" s="22">
        <v>2020</v>
      </c>
      <c r="E71" s="37">
        <v>1</v>
      </c>
      <c r="F71" s="22">
        <v>230</v>
      </c>
      <c r="G71" s="22">
        <v>28.8</v>
      </c>
      <c r="H71" s="22" t="s">
        <v>433</v>
      </c>
      <c r="I71" s="22" t="s">
        <v>497</v>
      </c>
      <c r="J71" s="26" t="s">
        <v>297</v>
      </c>
      <c r="K71" s="23">
        <f t="shared" si="8"/>
        <v>45</v>
      </c>
      <c r="L71" s="23">
        <f t="shared" si="9"/>
        <v>7</v>
      </c>
      <c r="M71" s="22">
        <v>0</v>
      </c>
      <c r="N71" s="23">
        <v>3</v>
      </c>
      <c r="O71" s="22">
        <v>0</v>
      </c>
      <c r="P71" s="22"/>
      <c r="Q71" s="22" t="s">
        <v>111</v>
      </c>
      <c r="R71" s="23">
        <f t="shared" si="10"/>
        <v>4</v>
      </c>
      <c r="S71" s="22" t="s">
        <v>296</v>
      </c>
      <c r="T71" s="22" t="s">
        <v>163</v>
      </c>
      <c r="U71" s="23">
        <f t="shared" si="11"/>
        <v>0</v>
      </c>
      <c r="V71" s="22">
        <v>12</v>
      </c>
      <c r="W71" s="23">
        <f t="shared" si="12"/>
        <v>2760</v>
      </c>
      <c r="X71" s="23">
        <v>8</v>
      </c>
      <c r="Y71" s="38">
        <f>Data!I142</f>
        <v>15768000</v>
      </c>
      <c r="Z71" s="22" t="s">
        <v>298</v>
      </c>
      <c r="AA71" s="23">
        <f t="shared" si="17"/>
        <v>236520000</v>
      </c>
      <c r="AB71" s="23" t="str">
        <f t="shared" si="13"/>
        <v>4</v>
      </c>
      <c r="AC71" s="19">
        <f>AVERAGE(Data!I142:BN142)</f>
        <v>70956000</v>
      </c>
      <c r="AD71" s="23" t="str">
        <f t="shared" si="14"/>
        <v>4</v>
      </c>
      <c r="AE71" s="38">
        <f t="shared" si="15"/>
        <v>220752000</v>
      </c>
      <c r="AF71" s="41">
        <f>Data!I143</f>
        <v>0.55833333337500002</v>
      </c>
      <c r="AG71" s="19">
        <f>((Data!J143-Data!I143)+(Data!K143-Data!J143)+(Data!L143-Data!K143)+(Data!M143-Data!L143)+(Data!N143-Data!M143)+(Data!O143-Data!N143)+(Data!P143-Data!O143))/7</f>
        <v>-1.6406212845779224E-2</v>
      </c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</row>
    <row r="72" spans="1:117" s="3" customFormat="1" ht="12" customHeight="1" x14ac:dyDescent="0.25">
      <c r="A72" s="27">
        <v>43903</v>
      </c>
      <c r="B72" s="5" t="s">
        <v>295</v>
      </c>
      <c r="C72" s="5" t="s">
        <v>164</v>
      </c>
      <c r="D72" s="22">
        <v>2020</v>
      </c>
      <c r="E72" s="37">
        <v>2</v>
      </c>
      <c r="F72" s="22">
        <v>142</v>
      </c>
      <c r="G72" s="22">
        <v>17.75</v>
      </c>
      <c r="H72" s="22" t="s">
        <v>433</v>
      </c>
      <c r="I72" s="22" t="s">
        <v>494</v>
      </c>
      <c r="J72" s="26" t="s">
        <v>297</v>
      </c>
      <c r="K72" s="23">
        <f t="shared" si="8"/>
        <v>45</v>
      </c>
      <c r="L72" s="23">
        <f t="shared" si="9"/>
        <v>7</v>
      </c>
      <c r="M72" s="22">
        <v>0</v>
      </c>
      <c r="N72" s="23">
        <v>3</v>
      </c>
      <c r="O72" s="22">
        <v>0</v>
      </c>
      <c r="P72" s="22"/>
      <c r="Q72" s="22" t="s">
        <v>111</v>
      </c>
      <c r="R72" s="23">
        <f t="shared" si="10"/>
        <v>4</v>
      </c>
      <c r="S72" s="22" t="s">
        <v>296</v>
      </c>
      <c r="T72" s="22" t="s">
        <v>163</v>
      </c>
      <c r="U72" s="23">
        <f t="shared" si="11"/>
        <v>0</v>
      </c>
      <c r="V72" s="22">
        <v>12</v>
      </c>
      <c r="W72" s="23">
        <f t="shared" si="12"/>
        <v>1704</v>
      </c>
      <c r="X72" s="23">
        <v>7</v>
      </c>
      <c r="Y72" s="38">
        <f>Data!I144</f>
        <v>31536000</v>
      </c>
      <c r="Z72" s="22" t="s">
        <v>298</v>
      </c>
      <c r="AA72" s="23">
        <f t="shared" si="17"/>
        <v>236520000</v>
      </c>
      <c r="AB72" s="23" t="str">
        <f t="shared" si="13"/>
        <v>4</v>
      </c>
      <c r="AC72" s="19">
        <f>AVERAGE(Data!I144:BN144)</f>
        <v>78840000</v>
      </c>
      <c r="AD72" s="23" t="str">
        <f t="shared" si="14"/>
        <v>4</v>
      </c>
      <c r="AE72" s="38">
        <f t="shared" si="15"/>
        <v>204984000</v>
      </c>
      <c r="AF72" s="41">
        <f>Data!I145</f>
        <v>0.56302521008403306</v>
      </c>
      <c r="AG72" s="19">
        <f>((Data!J145-Data!I145)+(Data!K145-Data!J145)+(Data!L145-Data!K145)+(Data!M145-Data!L145)+(Data!N145-Data!M145)+(Data!O145-Data!N145))/6</f>
        <v>-6.3916475681181266E-3</v>
      </c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</row>
    <row r="73" spans="1:117" s="3" customFormat="1" ht="12" customHeight="1" x14ac:dyDescent="0.25">
      <c r="A73" s="27">
        <v>43903</v>
      </c>
      <c r="B73" s="5" t="s">
        <v>295</v>
      </c>
      <c r="C73" s="5" t="s">
        <v>164</v>
      </c>
      <c r="D73" s="22">
        <v>2020</v>
      </c>
      <c r="E73" s="37">
        <v>2</v>
      </c>
      <c r="F73" s="22">
        <v>142</v>
      </c>
      <c r="G73" s="22">
        <v>17.75</v>
      </c>
      <c r="H73" s="22" t="s">
        <v>433</v>
      </c>
      <c r="I73" s="22" t="s">
        <v>420</v>
      </c>
      <c r="J73" s="26" t="s">
        <v>297</v>
      </c>
      <c r="K73" s="23">
        <f t="shared" si="8"/>
        <v>45</v>
      </c>
      <c r="L73" s="23">
        <f t="shared" si="9"/>
        <v>7</v>
      </c>
      <c r="M73" s="22">
        <v>0</v>
      </c>
      <c r="N73" s="23">
        <v>3</v>
      </c>
      <c r="O73" s="22">
        <v>0</v>
      </c>
      <c r="P73" s="22"/>
      <c r="Q73" s="22" t="s">
        <v>111</v>
      </c>
      <c r="R73" s="23">
        <f t="shared" si="10"/>
        <v>4</v>
      </c>
      <c r="S73" s="22" t="s">
        <v>296</v>
      </c>
      <c r="T73" s="22" t="s">
        <v>163</v>
      </c>
      <c r="U73" s="23">
        <f t="shared" si="11"/>
        <v>0</v>
      </c>
      <c r="V73" s="22">
        <v>12</v>
      </c>
      <c r="W73" s="23">
        <f t="shared" si="12"/>
        <v>1704</v>
      </c>
      <c r="X73" s="23">
        <v>7</v>
      </c>
      <c r="Y73" s="38">
        <f>Data!I146</f>
        <v>31536000</v>
      </c>
      <c r="Z73" s="22" t="s">
        <v>298</v>
      </c>
      <c r="AA73" s="23">
        <f t="shared" si="17"/>
        <v>236520000</v>
      </c>
      <c r="AB73" s="23" t="str">
        <f t="shared" si="13"/>
        <v>4</v>
      </c>
      <c r="AC73" s="19">
        <f>AVERAGE(Data!I146:BN146)</f>
        <v>78840000</v>
      </c>
      <c r="AD73" s="23" t="str">
        <f t="shared" si="14"/>
        <v>4</v>
      </c>
      <c r="AE73" s="38">
        <f t="shared" si="15"/>
        <v>204984000</v>
      </c>
      <c r="AF73" s="41">
        <f>Data!I147</f>
        <v>0.61089743589743573</v>
      </c>
      <c r="AG73" s="19">
        <f>((Data!J147-Data!I147)+(Data!K147-Data!J147)+(Data!L147-Data!K147)+(Data!M147-Data!L147)+(Data!N147-Data!M147)+(Data!O147-Data!N147))/6</f>
        <v>-2.1085858585858624E-2</v>
      </c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</row>
    <row r="74" spans="1:117" s="3" customFormat="1" ht="12" customHeight="1" x14ac:dyDescent="0.25">
      <c r="A74" s="27">
        <v>43903</v>
      </c>
      <c r="B74" s="5" t="s">
        <v>295</v>
      </c>
      <c r="C74" s="5" t="s">
        <v>164</v>
      </c>
      <c r="D74" s="22">
        <v>2020</v>
      </c>
      <c r="E74" s="37">
        <v>2</v>
      </c>
      <c r="F74" s="22">
        <v>142</v>
      </c>
      <c r="G74" s="22">
        <v>17.75</v>
      </c>
      <c r="H74" s="22" t="s">
        <v>433</v>
      </c>
      <c r="I74" s="22" t="s">
        <v>464</v>
      </c>
      <c r="J74" s="26" t="s">
        <v>297</v>
      </c>
      <c r="K74" s="23">
        <f t="shared" si="8"/>
        <v>45</v>
      </c>
      <c r="L74" s="23">
        <f t="shared" si="9"/>
        <v>7</v>
      </c>
      <c r="M74" s="22">
        <v>0</v>
      </c>
      <c r="N74" s="23">
        <v>3</v>
      </c>
      <c r="O74" s="22">
        <v>0</v>
      </c>
      <c r="P74" s="22"/>
      <c r="Q74" s="22" t="s">
        <v>111</v>
      </c>
      <c r="R74" s="23">
        <f t="shared" si="10"/>
        <v>4</v>
      </c>
      <c r="S74" s="22" t="s">
        <v>296</v>
      </c>
      <c r="T74" s="22" t="s">
        <v>163</v>
      </c>
      <c r="U74" s="23">
        <f t="shared" si="11"/>
        <v>0</v>
      </c>
      <c r="V74" s="22">
        <v>12</v>
      </c>
      <c r="W74" s="23">
        <f t="shared" si="12"/>
        <v>1704</v>
      </c>
      <c r="X74" s="23">
        <v>7</v>
      </c>
      <c r="Y74" s="38">
        <f>Data!I148</f>
        <v>31536000</v>
      </c>
      <c r="Z74" s="22" t="s">
        <v>298</v>
      </c>
      <c r="AA74" s="23">
        <f t="shared" si="17"/>
        <v>236520000</v>
      </c>
      <c r="AB74" s="23" t="str">
        <f t="shared" si="13"/>
        <v>4</v>
      </c>
      <c r="AC74" s="19">
        <f>AVERAGE(Data!I148:BN148)</f>
        <v>78840000</v>
      </c>
      <c r="AD74" s="23" t="str">
        <f t="shared" si="14"/>
        <v>4</v>
      </c>
      <c r="AE74" s="38">
        <f t="shared" si="15"/>
        <v>204984000</v>
      </c>
      <c r="AF74" s="41">
        <f>Data!I149</f>
        <v>0.64407894736842075</v>
      </c>
      <c r="AG74" s="19">
        <f>((Data!J149-Data!I149)+(Data!K149-Data!J149)+(Data!L149-Data!K149)+(Data!M149-Data!L149)+(Data!N149-Data!M149)+(Data!O149-Data!N149))/6</f>
        <v>-1.4908958001063252E-2</v>
      </c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</row>
    <row r="75" spans="1:117" s="3" customFormat="1" ht="12" customHeight="1" x14ac:dyDescent="0.25">
      <c r="A75" s="27">
        <v>43903</v>
      </c>
      <c r="B75" s="5" t="s">
        <v>295</v>
      </c>
      <c r="C75" s="5" t="s">
        <v>164</v>
      </c>
      <c r="D75" s="22">
        <v>2020</v>
      </c>
      <c r="E75" s="37">
        <v>2</v>
      </c>
      <c r="F75" s="22">
        <v>142</v>
      </c>
      <c r="G75" s="22">
        <v>17.75</v>
      </c>
      <c r="H75" s="22" t="s">
        <v>433</v>
      </c>
      <c r="I75" s="22" t="s">
        <v>424</v>
      </c>
      <c r="J75" s="26" t="s">
        <v>297</v>
      </c>
      <c r="K75" s="23">
        <f t="shared" si="8"/>
        <v>45</v>
      </c>
      <c r="L75" s="23">
        <f t="shared" si="9"/>
        <v>7</v>
      </c>
      <c r="M75" s="22">
        <v>0</v>
      </c>
      <c r="N75" s="23">
        <v>3</v>
      </c>
      <c r="O75" s="22">
        <v>0</v>
      </c>
      <c r="P75" s="22"/>
      <c r="Q75" s="22" t="s">
        <v>111</v>
      </c>
      <c r="R75" s="23">
        <f t="shared" si="10"/>
        <v>4</v>
      </c>
      <c r="S75" s="22" t="s">
        <v>296</v>
      </c>
      <c r="T75" s="22" t="s">
        <v>163</v>
      </c>
      <c r="U75" s="23">
        <f t="shared" si="11"/>
        <v>0</v>
      </c>
      <c r="V75" s="22">
        <v>12</v>
      </c>
      <c r="W75" s="23">
        <f t="shared" si="12"/>
        <v>1704</v>
      </c>
      <c r="X75" s="23">
        <v>7</v>
      </c>
      <c r="Y75" s="38">
        <f>Data!I150</f>
        <v>31536000</v>
      </c>
      <c r="Z75" s="22" t="s">
        <v>298</v>
      </c>
      <c r="AA75" s="23">
        <f t="shared" si="17"/>
        <v>236520000</v>
      </c>
      <c r="AB75" s="23" t="str">
        <f t="shared" si="13"/>
        <v>4</v>
      </c>
      <c r="AC75" s="19">
        <f>AVERAGE(Data!I150:BN150)</f>
        <v>78840000</v>
      </c>
      <c r="AD75" s="23" t="str">
        <f t="shared" si="14"/>
        <v>4</v>
      </c>
      <c r="AE75" s="38">
        <f t="shared" si="15"/>
        <v>204984000</v>
      </c>
      <c r="AF75" s="41">
        <f>Data!I151</f>
        <v>0.49855769230769198</v>
      </c>
      <c r="AG75" s="19">
        <f>((Data!J151-Data!I151)+(Data!K151-Data!J151)+(Data!L151-Data!K151)+(Data!M151-Data!L151)+(Data!N151-Data!M151)+(Data!O151-Data!N151))/6</f>
        <v>-1.2985972360972384E-2</v>
      </c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</row>
    <row r="76" spans="1:117" s="3" customFormat="1" ht="12" customHeight="1" x14ac:dyDescent="0.25">
      <c r="A76" s="27">
        <v>43903</v>
      </c>
      <c r="B76" s="5" t="s">
        <v>295</v>
      </c>
      <c r="C76" s="5" t="s">
        <v>164</v>
      </c>
      <c r="D76" s="22">
        <v>2020</v>
      </c>
      <c r="E76" s="37">
        <v>2</v>
      </c>
      <c r="F76" s="22">
        <v>142</v>
      </c>
      <c r="G76" s="22">
        <v>17.75</v>
      </c>
      <c r="H76" s="22" t="s">
        <v>433</v>
      </c>
      <c r="I76" s="22" t="s">
        <v>495</v>
      </c>
      <c r="J76" s="26" t="s">
        <v>297</v>
      </c>
      <c r="K76" s="23">
        <f t="shared" si="8"/>
        <v>45</v>
      </c>
      <c r="L76" s="23">
        <f t="shared" si="9"/>
        <v>7</v>
      </c>
      <c r="M76" s="22">
        <v>0</v>
      </c>
      <c r="N76" s="23">
        <v>3</v>
      </c>
      <c r="O76" s="22">
        <v>0</v>
      </c>
      <c r="P76" s="22"/>
      <c r="Q76" s="22" t="s">
        <v>111</v>
      </c>
      <c r="R76" s="23">
        <f t="shared" si="10"/>
        <v>4</v>
      </c>
      <c r="S76" s="22" t="s">
        <v>296</v>
      </c>
      <c r="T76" s="22" t="s">
        <v>163</v>
      </c>
      <c r="U76" s="23">
        <f t="shared" si="11"/>
        <v>0</v>
      </c>
      <c r="V76" s="22">
        <v>12</v>
      </c>
      <c r="W76" s="23">
        <f t="shared" si="12"/>
        <v>1704</v>
      </c>
      <c r="X76" s="23">
        <v>7</v>
      </c>
      <c r="Y76" s="38">
        <f>Data!I152</f>
        <v>31536000</v>
      </c>
      <c r="Z76" s="22" t="s">
        <v>298</v>
      </c>
      <c r="AA76" s="23">
        <f t="shared" si="17"/>
        <v>236520000</v>
      </c>
      <c r="AB76" s="23" t="str">
        <f t="shared" si="13"/>
        <v>4</v>
      </c>
      <c r="AC76" s="19">
        <f>AVERAGE(Data!I152:BN152)</f>
        <v>78840000</v>
      </c>
      <c r="AD76" s="23" t="str">
        <f t="shared" si="14"/>
        <v>4</v>
      </c>
      <c r="AE76" s="38">
        <f t="shared" si="15"/>
        <v>204984000</v>
      </c>
      <c r="AF76" s="41">
        <f>Data!I153</f>
        <v>0.3807692307692303</v>
      </c>
      <c r="AG76" s="19">
        <f>((Data!J153-Data!I153)+(Data!K153-Data!J153)+(Data!L153-Data!K153)+(Data!M153-Data!L153)+(Data!N153-Data!M153)+(Data!O153-Data!N153))/6</f>
        <v>-1.4898989898989893E-2</v>
      </c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</row>
    <row r="77" spans="1:117" s="3" customFormat="1" ht="12" customHeight="1" x14ac:dyDescent="0.25">
      <c r="A77" s="27">
        <v>43903</v>
      </c>
      <c r="B77" s="5" t="s">
        <v>295</v>
      </c>
      <c r="C77" s="5" t="s">
        <v>164</v>
      </c>
      <c r="D77" s="22">
        <v>2020</v>
      </c>
      <c r="E77" s="37">
        <v>2</v>
      </c>
      <c r="F77" s="22">
        <v>142</v>
      </c>
      <c r="G77" s="22">
        <v>17.75</v>
      </c>
      <c r="H77" s="22" t="s">
        <v>433</v>
      </c>
      <c r="I77" s="22" t="s">
        <v>496</v>
      </c>
      <c r="J77" s="26" t="s">
        <v>297</v>
      </c>
      <c r="K77" s="23">
        <f t="shared" si="8"/>
        <v>45</v>
      </c>
      <c r="L77" s="23">
        <f t="shared" si="9"/>
        <v>7</v>
      </c>
      <c r="M77" s="22">
        <v>0</v>
      </c>
      <c r="N77" s="23">
        <v>3</v>
      </c>
      <c r="O77" s="22">
        <v>0</v>
      </c>
      <c r="P77" s="22"/>
      <c r="Q77" s="22" t="s">
        <v>111</v>
      </c>
      <c r="R77" s="23">
        <f t="shared" si="10"/>
        <v>4</v>
      </c>
      <c r="S77" s="22" t="s">
        <v>296</v>
      </c>
      <c r="T77" s="22" t="s">
        <v>163</v>
      </c>
      <c r="U77" s="23">
        <f t="shared" si="11"/>
        <v>0</v>
      </c>
      <c r="V77" s="22">
        <v>12</v>
      </c>
      <c r="W77" s="23">
        <f t="shared" si="12"/>
        <v>1704</v>
      </c>
      <c r="X77" s="23">
        <v>7</v>
      </c>
      <c r="Y77" s="38">
        <f>Data!I154</f>
        <v>31536000</v>
      </c>
      <c r="Z77" s="22" t="s">
        <v>298</v>
      </c>
      <c r="AA77" s="23">
        <f t="shared" si="17"/>
        <v>236520000</v>
      </c>
      <c r="AB77" s="23" t="str">
        <f t="shared" si="13"/>
        <v>4</v>
      </c>
      <c r="AC77" s="19">
        <f>AVERAGE(Data!I154:BN154)</f>
        <v>78840000</v>
      </c>
      <c r="AD77" s="23" t="str">
        <f t="shared" si="14"/>
        <v>4</v>
      </c>
      <c r="AE77" s="38">
        <f t="shared" si="15"/>
        <v>204984000</v>
      </c>
      <c r="AF77" s="41">
        <f>Data!I155</f>
        <v>0.38333333333333297</v>
      </c>
      <c r="AG77" s="19">
        <f>((Data!J155-Data!I155)+(Data!K155-Data!J155)+(Data!L155-Data!K155)+(Data!M155-Data!L155)+(Data!N155-Data!M155)+(Data!O155-Data!N155))/6</f>
        <v>-2.0959595959595928E-2</v>
      </c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</row>
    <row r="78" spans="1:117" s="3" customFormat="1" ht="12" customHeight="1" x14ac:dyDescent="0.25">
      <c r="A78" s="27">
        <v>43903</v>
      </c>
      <c r="B78" s="5" t="s">
        <v>295</v>
      </c>
      <c r="C78" s="5" t="s">
        <v>164</v>
      </c>
      <c r="D78" s="22">
        <v>2020</v>
      </c>
      <c r="E78" s="37">
        <v>2</v>
      </c>
      <c r="F78" s="22">
        <v>142</v>
      </c>
      <c r="G78" s="22">
        <v>17.75</v>
      </c>
      <c r="H78" s="22" t="s">
        <v>433</v>
      </c>
      <c r="I78" s="22" t="s">
        <v>476</v>
      </c>
      <c r="J78" s="26" t="s">
        <v>297</v>
      </c>
      <c r="K78" s="23">
        <f t="shared" si="8"/>
        <v>45</v>
      </c>
      <c r="L78" s="23">
        <f t="shared" si="9"/>
        <v>7</v>
      </c>
      <c r="M78" s="22">
        <v>0</v>
      </c>
      <c r="N78" s="23">
        <v>3</v>
      </c>
      <c r="O78" s="22">
        <v>0</v>
      </c>
      <c r="P78" s="22"/>
      <c r="Q78" s="22" t="s">
        <v>111</v>
      </c>
      <c r="R78" s="23">
        <f t="shared" si="10"/>
        <v>4</v>
      </c>
      <c r="S78" s="22" t="s">
        <v>296</v>
      </c>
      <c r="T78" s="22" t="s">
        <v>163</v>
      </c>
      <c r="U78" s="23">
        <f t="shared" si="11"/>
        <v>0</v>
      </c>
      <c r="V78" s="22">
        <v>12</v>
      </c>
      <c r="W78" s="23">
        <f t="shared" si="12"/>
        <v>1704</v>
      </c>
      <c r="X78" s="23">
        <v>7</v>
      </c>
      <c r="Y78" s="38">
        <f>Data!I156</f>
        <v>31536000</v>
      </c>
      <c r="Z78" s="22" t="s">
        <v>298</v>
      </c>
      <c r="AA78" s="23">
        <f t="shared" si="17"/>
        <v>236520000</v>
      </c>
      <c r="AB78" s="23" t="str">
        <f t="shared" si="13"/>
        <v>4</v>
      </c>
      <c r="AC78" s="19">
        <f>AVERAGE(Data!I156:BN156)</f>
        <v>78840000</v>
      </c>
      <c r="AD78" s="23" t="str">
        <f t="shared" si="14"/>
        <v>4</v>
      </c>
      <c r="AE78" s="38">
        <f t="shared" si="15"/>
        <v>204984000</v>
      </c>
      <c r="AF78" s="41">
        <f>Data!I157</f>
        <v>0.5142857142857139</v>
      </c>
      <c r="AG78" s="19">
        <f>((Data!J157-Data!I157)+(Data!K157-Data!J157)+(Data!L157-Data!K157)+(Data!M157-Data!L157)+(Data!N157-Data!M157)+(Data!O157-Data!N157))/6</f>
        <v>-1.8434343434343432E-2</v>
      </c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</row>
    <row r="79" spans="1:117" s="3" customFormat="1" ht="12" customHeight="1" x14ac:dyDescent="0.25">
      <c r="A79" s="27">
        <v>43903</v>
      </c>
      <c r="B79" s="5" t="s">
        <v>295</v>
      </c>
      <c r="C79" s="5" t="s">
        <v>164</v>
      </c>
      <c r="D79" s="22">
        <v>2020</v>
      </c>
      <c r="E79" s="37">
        <v>2</v>
      </c>
      <c r="F79" s="22">
        <v>142</v>
      </c>
      <c r="G79" s="22">
        <v>17.75</v>
      </c>
      <c r="H79" s="22" t="s">
        <v>433</v>
      </c>
      <c r="I79" s="22" t="s">
        <v>497</v>
      </c>
      <c r="J79" s="26" t="s">
        <v>297</v>
      </c>
      <c r="K79" s="23">
        <f t="shared" si="8"/>
        <v>45</v>
      </c>
      <c r="L79" s="23">
        <f t="shared" si="9"/>
        <v>7</v>
      </c>
      <c r="M79" s="22">
        <v>0</v>
      </c>
      <c r="N79" s="23">
        <v>3</v>
      </c>
      <c r="O79" s="22">
        <v>0</v>
      </c>
      <c r="P79" s="22"/>
      <c r="Q79" s="22" t="s">
        <v>111</v>
      </c>
      <c r="R79" s="23">
        <f t="shared" si="10"/>
        <v>4</v>
      </c>
      <c r="S79" s="22" t="s">
        <v>296</v>
      </c>
      <c r="T79" s="22" t="s">
        <v>163</v>
      </c>
      <c r="U79" s="23">
        <f t="shared" si="11"/>
        <v>0</v>
      </c>
      <c r="V79" s="22">
        <v>12</v>
      </c>
      <c r="W79" s="23">
        <f t="shared" si="12"/>
        <v>1704</v>
      </c>
      <c r="X79" s="23">
        <v>7</v>
      </c>
      <c r="Y79" s="38">
        <f>Data!I158</f>
        <v>31536000</v>
      </c>
      <c r="Z79" s="22" t="s">
        <v>298</v>
      </c>
      <c r="AA79" s="23">
        <f t="shared" si="17"/>
        <v>236520000</v>
      </c>
      <c r="AB79" s="23" t="str">
        <f t="shared" si="13"/>
        <v>4</v>
      </c>
      <c r="AC79" s="19">
        <f>AVERAGE(Data!I158:BN158)</f>
        <v>78840000</v>
      </c>
      <c r="AD79" s="23" t="str">
        <f t="shared" si="14"/>
        <v>4</v>
      </c>
      <c r="AE79" s="38">
        <f t="shared" si="15"/>
        <v>204984000</v>
      </c>
      <c r="AF79" s="41">
        <f>Data!I159</f>
        <v>0.59780219780219745</v>
      </c>
      <c r="AG79" s="19">
        <f>((Data!J159-Data!I159)+(Data!K159-Data!J159)+(Data!L159-Data!K159)+(Data!M159-Data!L159)+(Data!N159-Data!M159)+(Data!O159-Data!N159))/6</f>
        <v>-2.258019758019757E-2</v>
      </c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</row>
    <row r="80" spans="1:117" s="3" customFormat="1" ht="12" customHeight="1" x14ac:dyDescent="0.2">
      <c r="A80" s="27">
        <v>43509</v>
      </c>
      <c r="B80" s="32" t="s">
        <v>87</v>
      </c>
      <c r="C80" s="32" t="s">
        <v>81</v>
      </c>
      <c r="D80" s="31">
        <v>1885</v>
      </c>
      <c r="E80" s="44">
        <v>1</v>
      </c>
      <c r="F80" s="31">
        <v>1</v>
      </c>
      <c r="G80" s="31">
        <v>1</v>
      </c>
      <c r="H80" s="43" t="s">
        <v>150</v>
      </c>
      <c r="I80" s="31"/>
      <c r="J80" s="31" t="s">
        <v>174</v>
      </c>
      <c r="K80" s="31">
        <f t="shared" si="8"/>
        <v>1</v>
      </c>
      <c r="L80" s="31">
        <f t="shared" si="9"/>
        <v>1</v>
      </c>
      <c r="M80" s="31">
        <v>1</v>
      </c>
      <c r="N80" s="31">
        <v>2</v>
      </c>
      <c r="O80" s="31">
        <v>0</v>
      </c>
      <c r="P80" s="31"/>
      <c r="Q80" s="31" t="s">
        <v>59</v>
      </c>
      <c r="R80" s="31">
        <f t="shared" si="10"/>
        <v>5</v>
      </c>
      <c r="S80" s="31" t="s">
        <v>59</v>
      </c>
      <c r="T80" s="46" t="s">
        <v>342</v>
      </c>
      <c r="U80" s="31">
        <f t="shared" si="11"/>
        <v>1</v>
      </c>
      <c r="V80" s="46">
        <v>15964</v>
      </c>
      <c r="W80" s="31">
        <f t="shared" si="12"/>
        <v>15964</v>
      </c>
      <c r="X80" s="31">
        <v>8</v>
      </c>
      <c r="Y80" s="44">
        <f>Data!I160</f>
        <v>30</v>
      </c>
      <c r="Z80" s="31" t="s">
        <v>88</v>
      </c>
      <c r="AA80" s="31">
        <v>2678659.2000000002</v>
      </c>
      <c r="AB80" s="31" t="str">
        <f t="shared" si="13"/>
        <v>4</v>
      </c>
      <c r="AC80" s="34">
        <f>AVERAGE(Data!I160:BN160)</f>
        <v>436556.25</v>
      </c>
      <c r="AD80" s="31" t="str">
        <f t="shared" si="14"/>
        <v>3</v>
      </c>
      <c r="AE80" s="44">
        <f t="shared" si="15"/>
        <v>2678629.2000000002</v>
      </c>
      <c r="AF80" s="45">
        <f>Data!I161</f>
        <v>1</v>
      </c>
      <c r="AG80" s="34">
        <f>((Data!J161-Data!I161)+(Data!K161-Data!J161)+(Data!L161-Data!K161)+(Data!M161-Data!L161)+(Data!N161-Data!M161)+(Data!O161-Data!N161)+(Data!P161-Data!O161))/7</f>
        <v>-0.11271428571428573</v>
      </c>
    </row>
    <row r="81" spans="1:118" s="3" customFormat="1" ht="12" customHeight="1" x14ac:dyDescent="0.2">
      <c r="A81" s="27">
        <v>43509</v>
      </c>
      <c r="B81" s="11" t="s">
        <v>134</v>
      </c>
      <c r="C81" s="1" t="s">
        <v>135</v>
      </c>
      <c r="D81" s="23">
        <v>1998</v>
      </c>
      <c r="E81" s="38">
        <v>1</v>
      </c>
      <c r="F81" s="23">
        <v>670</v>
      </c>
      <c r="G81" s="23">
        <v>47.9</v>
      </c>
      <c r="H81" s="23" t="s">
        <v>32</v>
      </c>
      <c r="I81" s="23" t="s">
        <v>394</v>
      </c>
      <c r="J81" s="23" t="s">
        <v>370</v>
      </c>
      <c r="K81" s="23">
        <f t="shared" si="8"/>
        <v>15</v>
      </c>
      <c r="L81" s="23">
        <f t="shared" si="9"/>
        <v>2</v>
      </c>
      <c r="M81" s="23">
        <v>0</v>
      </c>
      <c r="N81" s="23">
        <v>1</v>
      </c>
      <c r="O81" s="23">
        <v>0</v>
      </c>
      <c r="P81" s="23"/>
      <c r="Q81" s="23" t="s">
        <v>106</v>
      </c>
      <c r="R81" s="23">
        <f t="shared" si="10"/>
        <v>1</v>
      </c>
      <c r="S81" s="23" t="s">
        <v>31</v>
      </c>
      <c r="T81" s="22" t="s">
        <v>163</v>
      </c>
      <c r="U81" s="23">
        <f t="shared" si="11"/>
        <v>0</v>
      </c>
      <c r="V81" s="22">
        <v>40</v>
      </c>
      <c r="W81" s="23">
        <f t="shared" si="12"/>
        <v>26800</v>
      </c>
      <c r="X81" s="23">
        <v>14</v>
      </c>
      <c r="Y81" s="38">
        <f>Data!I162</f>
        <v>94608000</v>
      </c>
      <c r="Z81" s="23" t="s">
        <v>137</v>
      </c>
      <c r="AA81" s="23">
        <f>16*365*24*60*60</f>
        <v>504576000</v>
      </c>
      <c r="AB81" s="23" t="str">
        <f t="shared" si="13"/>
        <v>4</v>
      </c>
      <c r="AC81" s="19">
        <f>AVERAGE(Data!I162:BN162)</f>
        <v>299592000</v>
      </c>
      <c r="AD81" s="23" t="str">
        <f t="shared" si="14"/>
        <v>4</v>
      </c>
      <c r="AE81" s="38">
        <f t="shared" si="15"/>
        <v>409968000</v>
      </c>
      <c r="AF81" s="41">
        <f>Data!I163</f>
        <v>0.48</v>
      </c>
      <c r="AG81" s="19">
        <f>((Data!J163-Data!I163)+(Data!K163-Data!J163)+(Data!L163-Data!K163)+(Data!M163-Data!L163)+(Data!N163-Data!M163)+(Data!O163-Data!N163)+(Data!P163-Data!O163)+(Data!Q163-Data!P163)+(Data!R163-Data!Q163)+(Data!S163-Data!R163)+(Data!T163-Data!S163)+(Data!U163-Data!T163)+(Data!V163-Data!U163))/13</f>
        <v>-1.6999999999999998E-2</v>
      </c>
    </row>
    <row r="82" spans="1:118" s="3" customFormat="1" ht="12" customHeight="1" x14ac:dyDescent="0.2">
      <c r="A82" s="27">
        <v>43509</v>
      </c>
      <c r="B82" s="1" t="s">
        <v>134</v>
      </c>
      <c r="C82" s="1" t="s">
        <v>135</v>
      </c>
      <c r="D82" s="23">
        <v>1998</v>
      </c>
      <c r="E82" s="38">
        <v>1</v>
      </c>
      <c r="F82" s="23">
        <v>371</v>
      </c>
      <c r="G82" s="23">
        <v>26.5</v>
      </c>
      <c r="H82" s="23" t="s">
        <v>32</v>
      </c>
      <c r="I82" s="23" t="s">
        <v>395</v>
      </c>
      <c r="J82" s="23" t="s">
        <v>370</v>
      </c>
      <c r="K82" s="23">
        <f t="shared" si="8"/>
        <v>15</v>
      </c>
      <c r="L82" s="23">
        <f t="shared" si="9"/>
        <v>2</v>
      </c>
      <c r="M82" s="23">
        <v>0</v>
      </c>
      <c r="N82" s="23">
        <v>1</v>
      </c>
      <c r="O82" s="23">
        <v>0</v>
      </c>
      <c r="P82" s="23"/>
      <c r="Q82" s="23" t="s">
        <v>106</v>
      </c>
      <c r="R82" s="23">
        <f t="shared" si="10"/>
        <v>1</v>
      </c>
      <c r="S82" s="23" t="s">
        <v>31</v>
      </c>
      <c r="T82" s="22" t="s">
        <v>163</v>
      </c>
      <c r="U82" s="23">
        <f t="shared" si="11"/>
        <v>0</v>
      </c>
      <c r="V82" s="22">
        <v>40</v>
      </c>
      <c r="W82" s="23">
        <f t="shared" si="12"/>
        <v>14840</v>
      </c>
      <c r="X82" s="23">
        <v>14</v>
      </c>
      <c r="Y82" s="38">
        <f>Data!I164</f>
        <v>94608000</v>
      </c>
      <c r="Z82" s="23" t="s">
        <v>137</v>
      </c>
      <c r="AA82" s="23">
        <f>16*365*24*60*60</f>
        <v>504576000</v>
      </c>
      <c r="AB82" s="23" t="str">
        <f t="shared" si="13"/>
        <v>4</v>
      </c>
      <c r="AC82" s="19">
        <f>AVERAGE(Data!I164:BN164)</f>
        <v>299592000</v>
      </c>
      <c r="AD82" s="23" t="str">
        <f t="shared" si="14"/>
        <v>4</v>
      </c>
      <c r="AE82" s="38">
        <f t="shared" si="15"/>
        <v>409968000</v>
      </c>
      <c r="AF82" s="41">
        <f>Data!I165</f>
        <v>0.31900000000000001</v>
      </c>
      <c r="AG82" s="19">
        <f>((Data!J165-Data!I165)+(Data!K165-Data!J165)+(Data!L165-Data!K165)+(Data!M165-Data!L165)+(Data!N165-Data!M165)+(Data!O165-Data!N165)+(Data!P165-Data!O165)+(Data!Q165-Data!P165)+(Data!R165-Data!Q165)+(Data!S165-Data!R165)+(Data!T165-Data!S165)+(Data!U165-Data!T165)+(Data!V165-Data!U165))/13</f>
        <v>-1.3615384615384619E-2</v>
      </c>
    </row>
    <row r="83" spans="1:118" s="3" customFormat="1" ht="12" customHeight="1" x14ac:dyDescent="0.2">
      <c r="A83" s="27">
        <v>43509</v>
      </c>
      <c r="B83" s="32" t="s">
        <v>65</v>
      </c>
      <c r="C83" s="32" t="s">
        <v>56</v>
      </c>
      <c r="D83" s="31">
        <v>1913</v>
      </c>
      <c r="E83" s="44">
        <v>1</v>
      </c>
      <c r="F83" s="31">
        <v>14</v>
      </c>
      <c r="G83" s="31">
        <v>14</v>
      </c>
      <c r="H83" s="31" t="s">
        <v>24</v>
      </c>
      <c r="I83" s="31"/>
      <c r="J83" s="31" t="s">
        <v>174</v>
      </c>
      <c r="K83" s="31">
        <f t="shared" si="8"/>
        <v>1</v>
      </c>
      <c r="L83" s="31">
        <f t="shared" si="9"/>
        <v>1</v>
      </c>
      <c r="M83" s="31">
        <v>1</v>
      </c>
      <c r="N83" s="31">
        <v>2</v>
      </c>
      <c r="O83" s="31">
        <v>0</v>
      </c>
      <c r="P83" s="31"/>
      <c r="Q83" s="31" t="s">
        <v>66</v>
      </c>
      <c r="R83" s="31">
        <f t="shared" si="10"/>
        <v>5</v>
      </c>
      <c r="S83" s="31" t="s">
        <v>66</v>
      </c>
      <c r="T83" s="46" t="s">
        <v>342</v>
      </c>
      <c r="U83" s="31">
        <f t="shared" si="11"/>
        <v>1</v>
      </c>
      <c r="V83" s="46">
        <v>132</v>
      </c>
      <c r="W83" s="31">
        <f t="shared" si="12"/>
        <v>1848</v>
      </c>
      <c r="X83" s="31">
        <v>12</v>
      </c>
      <c r="Y83" s="44">
        <f>Data!I166</f>
        <v>1800</v>
      </c>
      <c r="Z83" s="31" t="s">
        <v>67</v>
      </c>
      <c r="AA83" s="44">
        <f>48*60*60</f>
        <v>172800</v>
      </c>
      <c r="AB83" s="31" t="str">
        <f t="shared" si="13"/>
        <v>3</v>
      </c>
      <c r="AC83" s="34">
        <f>AVERAGE(Data!I166:BN166)</f>
        <v>81450</v>
      </c>
      <c r="AD83" s="31" t="str">
        <f t="shared" si="14"/>
        <v>3</v>
      </c>
      <c r="AE83" s="44">
        <f t="shared" si="15"/>
        <v>171000</v>
      </c>
      <c r="AF83" s="45">
        <f>Data!I167</f>
        <v>1</v>
      </c>
      <c r="AG83" s="34">
        <f>((Data!J167-Data!I167)+(Data!K167-Data!J167)+(Data!L167-Data!K167)+(Data!M167-Data!L167)+(Data!N167-Data!M167)+(Data!O167-Data!N167)+(Data!P167-Data!O167)+(Data!Q167-Data!P167)+(Data!R167-Data!Q167)+(Data!S167-Data!R167)+(Data!T167-Data!S167))/11</f>
        <v>-4.3545454545454547E-2</v>
      </c>
      <c r="DN83" s="4"/>
    </row>
    <row r="84" spans="1:118" s="3" customFormat="1" ht="12" customHeight="1" x14ac:dyDescent="0.2">
      <c r="A84" s="27">
        <v>43903</v>
      </c>
      <c r="B84" s="32" t="s">
        <v>290</v>
      </c>
      <c r="C84" s="32" t="s">
        <v>291</v>
      </c>
      <c r="D84" s="31">
        <v>2020</v>
      </c>
      <c r="E84" s="44">
        <v>1</v>
      </c>
      <c r="F84" s="31">
        <v>144</v>
      </c>
      <c r="G84" s="31">
        <v>24</v>
      </c>
      <c r="H84" s="31"/>
      <c r="I84" s="31" t="s">
        <v>389</v>
      </c>
      <c r="J84" s="31" t="s">
        <v>292</v>
      </c>
      <c r="K84" s="31">
        <f t="shared" si="8"/>
        <v>32</v>
      </c>
      <c r="L84" s="31">
        <f t="shared" si="9"/>
        <v>5</v>
      </c>
      <c r="M84" s="31">
        <v>0</v>
      </c>
      <c r="N84" s="31">
        <v>2</v>
      </c>
      <c r="O84" s="31">
        <v>0</v>
      </c>
      <c r="P84" s="31"/>
      <c r="Q84" s="31" t="s">
        <v>23</v>
      </c>
      <c r="R84" s="31">
        <f t="shared" si="10"/>
        <v>3</v>
      </c>
      <c r="S84" s="31" t="s">
        <v>11</v>
      </c>
      <c r="T84" s="31" t="s">
        <v>163</v>
      </c>
      <c r="U84" s="31">
        <f t="shared" si="11"/>
        <v>0</v>
      </c>
      <c r="V84" s="31">
        <v>18</v>
      </c>
      <c r="W84" s="31">
        <f t="shared" si="12"/>
        <v>2592</v>
      </c>
      <c r="X84" s="31">
        <v>6</v>
      </c>
      <c r="Y84" s="44">
        <f>Data!I168</f>
        <v>60</v>
      </c>
      <c r="Z84" s="31" t="s">
        <v>293</v>
      </c>
      <c r="AA84" s="31">
        <v>1209600</v>
      </c>
      <c r="AB84" s="31" t="str">
        <f t="shared" si="13"/>
        <v>4</v>
      </c>
      <c r="AC84" s="34">
        <f>AVERAGE(Data!I168:BN168)</f>
        <v>504010</v>
      </c>
      <c r="AD84" s="31" t="str">
        <f t="shared" si="14"/>
        <v>3</v>
      </c>
      <c r="AE84" s="44">
        <f t="shared" si="15"/>
        <v>1209540</v>
      </c>
      <c r="AF84" s="45">
        <f>Data!I169</f>
        <v>0.7997685185185186</v>
      </c>
      <c r="AG84" s="34">
        <f>((Data!J169-Data!I169)+(Data!K169-Data!J169)+(Data!L169-Data!K169)+(Data!M169-Data!L169)+(Data!N169-Data!M169))/5</f>
        <v>-4.4444444444444488E-2</v>
      </c>
    </row>
    <row r="85" spans="1:118" s="3" customFormat="1" ht="12" customHeight="1" x14ac:dyDescent="0.2">
      <c r="A85" s="27">
        <v>43903</v>
      </c>
      <c r="B85" s="32" t="s">
        <v>290</v>
      </c>
      <c r="C85" s="32" t="s">
        <v>291</v>
      </c>
      <c r="D85" s="31">
        <v>2020</v>
      </c>
      <c r="E85" s="44">
        <v>1</v>
      </c>
      <c r="F85" s="31">
        <v>144</v>
      </c>
      <c r="G85" s="31">
        <v>24</v>
      </c>
      <c r="H85" s="31"/>
      <c r="I85" s="31" t="s">
        <v>402</v>
      </c>
      <c r="J85" s="31" t="s">
        <v>292</v>
      </c>
      <c r="K85" s="31">
        <f t="shared" si="8"/>
        <v>32</v>
      </c>
      <c r="L85" s="31">
        <f t="shared" si="9"/>
        <v>5</v>
      </c>
      <c r="M85" s="31">
        <v>1</v>
      </c>
      <c r="N85" s="31">
        <v>4</v>
      </c>
      <c r="O85" s="31">
        <v>0</v>
      </c>
      <c r="P85" s="31"/>
      <c r="Q85" s="31" t="s">
        <v>23</v>
      </c>
      <c r="R85" s="31">
        <f t="shared" si="10"/>
        <v>3</v>
      </c>
      <c r="S85" s="31" t="s">
        <v>11</v>
      </c>
      <c r="T85" s="31" t="s">
        <v>163</v>
      </c>
      <c r="U85" s="31">
        <f t="shared" si="11"/>
        <v>0</v>
      </c>
      <c r="V85" s="31">
        <v>18</v>
      </c>
      <c r="W85" s="31">
        <f t="shared" si="12"/>
        <v>2592</v>
      </c>
      <c r="X85" s="31">
        <v>6</v>
      </c>
      <c r="Y85" s="44">
        <f>Data!I170</f>
        <v>60</v>
      </c>
      <c r="Z85" s="31" t="s">
        <v>293</v>
      </c>
      <c r="AA85" s="31">
        <v>1209600</v>
      </c>
      <c r="AB85" s="31" t="str">
        <f t="shared" si="13"/>
        <v>4</v>
      </c>
      <c r="AC85" s="34">
        <f>AVERAGE(Data!I170:BN170)</f>
        <v>504010</v>
      </c>
      <c r="AD85" s="31" t="str">
        <f t="shared" si="14"/>
        <v>3</v>
      </c>
      <c r="AE85" s="44">
        <f t="shared" si="15"/>
        <v>1209540</v>
      </c>
      <c r="AF85" s="45">
        <f>Data!I171</f>
        <v>0.90509259259259256</v>
      </c>
      <c r="AG85" s="34">
        <f>((Data!J171-Data!I171)+(Data!K171-Data!J171)+(Data!L171-Data!K171)+(Data!M171-Data!L171)+(Data!N171-Data!M171))/5</f>
        <v>-5.2546296296296299E-2</v>
      </c>
    </row>
    <row r="86" spans="1:118" s="3" customFormat="1" ht="12" customHeight="1" x14ac:dyDescent="0.2">
      <c r="A86" s="27">
        <v>43903</v>
      </c>
      <c r="B86" s="32" t="s">
        <v>290</v>
      </c>
      <c r="C86" s="32" t="s">
        <v>291</v>
      </c>
      <c r="D86" s="31">
        <v>2020</v>
      </c>
      <c r="E86" s="44">
        <v>1</v>
      </c>
      <c r="F86" s="31">
        <v>144</v>
      </c>
      <c r="G86" s="31">
        <v>24</v>
      </c>
      <c r="H86" s="31"/>
      <c r="I86" s="31" t="s">
        <v>403</v>
      </c>
      <c r="J86" s="31" t="s">
        <v>292</v>
      </c>
      <c r="K86" s="31">
        <f t="shared" si="8"/>
        <v>32</v>
      </c>
      <c r="L86" s="31">
        <f t="shared" si="9"/>
        <v>5</v>
      </c>
      <c r="M86" s="31">
        <v>1</v>
      </c>
      <c r="N86" s="31">
        <v>4</v>
      </c>
      <c r="O86" s="31">
        <v>0</v>
      </c>
      <c r="P86" s="31"/>
      <c r="Q86" s="31" t="s">
        <v>23</v>
      </c>
      <c r="R86" s="31">
        <f t="shared" si="10"/>
        <v>3</v>
      </c>
      <c r="S86" s="31" t="s">
        <v>11</v>
      </c>
      <c r="T86" s="31" t="s">
        <v>163</v>
      </c>
      <c r="U86" s="31">
        <f t="shared" si="11"/>
        <v>0</v>
      </c>
      <c r="V86" s="31">
        <v>18</v>
      </c>
      <c r="W86" s="31">
        <f t="shared" si="12"/>
        <v>2592</v>
      </c>
      <c r="X86" s="31">
        <v>6</v>
      </c>
      <c r="Y86" s="44">
        <f>Data!I172</f>
        <v>60</v>
      </c>
      <c r="Z86" s="31" t="s">
        <v>293</v>
      </c>
      <c r="AA86" s="31">
        <v>1209600</v>
      </c>
      <c r="AB86" s="31" t="str">
        <f t="shared" si="13"/>
        <v>4</v>
      </c>
      <c r="AC86" s="34">
        <f>AVERAGE(Data!I172:BN172)</f>
        <v>504010</v>
      </c>
      <c r="AD86" s="31" t="str">
        <f t="shared" si="14"/>
        <v>3</v>
      </c>
      <c r="AE86" s="44">
        <f t="shared" si="15"/>
        <v>1209540</v>
      </c>
      <c r="AF86" s="45">
        <f>Data!I173</f>
        <v>0.97106481481481455</v>
      </c>
      <c r="AG86" s="34">
        <f>((Data!J173-Data!I173)+(Data!K173-Data!J173)+(Data!L173-Data!K173)+(Data!M173-Data!L173)+(Data!N173-Data!M173))/5</f>
        <v>-3.6805555555555536E-2</v>
      </c>
    </row>
    <row r="87" spans="1:118" s="3" customFormat="1" ht="12" customHeight="1" x14ac:dyDescent="0.2">
      <c r="A87" s="27">
        <v>43903</v>
      </c>
      <c r="B87" s="32" t="s">
        <v>290</v>
      </c>
      <c r="C87" s="32" t="s">
        <v>291</v>
      </c>
      <c r="D87" s="31">
        <v>2020</v>
      </c>
      <c r="E87" s="44">
        <v>2</v>
      </c>
      <c r="F87" s="31">
        <v>144</v>
      </c>
      <c r="G87" s="31">
        <v>24</v>
      </c>
      <c r="H87" s="31"/>
      <c r="I87" s="31" t="s">
        <v>389</v>
      </c>
      <c r="J87" s="31" t="s">
        <v>292</v>
      </c>
      <c r="K87" s="31">
        <f t="shared" si="8"/>
        <v>32</v>
      </c>
      <c r="L87" s="31">
        <f t="shared" si="9"/>
        <v>5</v>
      </c>
      <c r="M87" s="31">
        <v>0</v>
      </c>
      <c r="N87" s="31">
        <v>2</v>
      </c>
      <c r="O87" s="31">
        <v>0</v>
      </c>
      <c r="P87" s="31"/>
      <c r="Q87" s="31" t="s">
        <v>23</v>
      </c>
      <c r="R87" s="31">
        <f t="shared" si="10"/>
        <v>3</v>
      </c>
      <c r="S87" s="31" t="s">
        <v>11</v>
      </c>
      <c r="T87" s="31" t="s">
        <v>163</v>
      </c>
      <c r="U87" s="31">
        <f t="shared" si="11"/>
        <v>0</v>
      </c>
      <c r="V87" s="31">
        <v>18</v>
      </c>
      <c r="W87" s="31">
        <f t="shared" si="12"/>
        <v>2592</v>
      </c>
      <c r="X87" s="31">
        <v>6</v>
      </c>
      <c r="Y87" s="44">
        <f>Data!I174</f>
        <v>60</v>
      </c>
      <c r="Z87" s="31" t="s">
        <v>293</v>
      </c>
      <c r="AA87" s="31">
        <v>1209600</v>
      </c>
      <c r="AB87" s="31" t="str">
        <f t="shared" si="13"/>
        <v>4</v>
      </c>
      <c r="AC87" s="34">
        <f>AVERAGE(Data!I174:BN174)</f>
        <v>504010</v>
      </c>
      <c r="AD87" s="31" t="str">
        <f t="shared" si="14"/>
        <v>3</v>
      </c>
      <c r="AE87" s="44">
        <f t="shared" si="15"/>
        <v>1209540</v>
      </c>
      <c r="AF87" s="45">
        <f>Data!I175</f>
        <v>0.82754629629629639</v>
      </c>
      <c r="AG87" s="34">
        <f>((Data!J175-Data!I175)+(Data!K175-Data!J175)+(Data!L175-Data!K175)+(Data!M175-Data!L175)+(Data!N175-Data!M175))/5</f>
        <v>-5.3009259259259277E-2</v>
      </c>
    </row>
    <row r="88" spans="1:118" s="3" customFormat="1" ht="12" customHeight="1" x14ac:dyDescent="0.2">
      <c r="A88" s="27">
        <v>43903</v>
      </c>
      <c r="B88" s="32" t="s">
        <v>290</v>
      </c>
      <c r="C88" s="32" t="s">
        <v>291</v>
      </c>
      <c r="D88" s="31">
        <v>2020</v>
      </c>
      <c r="E88" s="44">
        <v>2</v>
      </c>
      <c r="F88" s="31">
        <v>144</v>
      </c>
      <c r="G88" s="31">
        <v>24</v>
      </c>
      <c r="H88" s="31"/>
      <c r="I88" s="31" t="s">
        <v>405</v>
      </c>
      <c r="J88" s="31" t="s">
        <v>292</v>
      </c>
      <c r="K88" s="31">
        <f t="shared" si="8"/>
        <v>32</v>
      </c>
      <c r="L88" s="31">
        <f t="shared" si="9"/>
        <v>5</v>
      </c>
      <c r="M88" s="31">
        <v>1</v>
      </c>
      <c r="N88" s="31">
        <v>4</v>
      </c>
      <c r="O88" s="31">
        <v>0</v>
      </c>
      <c r="P88" s="31"/>
      <c r="Q88" s="31" t="s">
        <v>23</v>
      </c>
      <c r="R88" s="31">
        <f t="shared" si="10"/>
        <v>3</v>
      </c>
      <c r="S88" s="31" t="s">
        <v>11</v>
      </c>
      <c r="T88" s="31" t="s">
        <v>163</v>
      </c>
      <c r="U88" s="31">
        <f t="shared" si="11"/>
        <v>0</v>
      </c>
      <c r="V88" s="31">
        <v>18</v>
      </c>
      <c r="W88" s="31">
        <f t="shared" si="12"/>
        <v>2592</v>
      </c>
      <c r="X88" s="31">
        <v>6</v>
      </c>
      <c r="Y88" s="44">
        <f>Data!I176</f>
        <v>60</v>
      </c>
      <c r="Z88" s="31" t="s">
        <v>293</v>
      </c>
      <c r="AA88" s="31">
        <v>1209600</v>
      </c>
      <c r="AB88" s="31" t="str">
        <f t="shared" si="13"/>
        <v>4</v>
      </c>
      <c r="AC88" s="34">
        <f>AVERAGE(Data!I176:BN176)</f>
        <v>504010</v>
      </c>
      <c r="AD88" s="31" t="str">
        <f t="shared" si="14"/>
        <v>3</v>
      </c>
      <c r="AE88" s="44">
        <f t="shared" si="15"/>
        <v>1209540</v>
      </c>
      <c r="AF88" s="45">
        <f>Data!I177</f>
        <v>0.80439814814814803</v>
      </c>
      <c r="AG88" s="34">
        <f>((Data!J177-Data!I177)+(Data!K177-Data!J177)+(Data!L177-Data!K177)+(Data!M177-Data!L177)+(Data!N177-Data!M177))/5</f>
        <v>-4.4675925925925862E-2</v>
      </c>
    </row>
    <row r="89" spans="1:118" s="3" customFormat="1" ht="12" customHeight="1" x14ac:dyDescent="0.2">
      <c r="A89" s="27">
        <v>43903</v>
      </c>
      <c r="B89" s="32" t="s">
        <v>290</v>
      </c>
      <c r="C89" s="32" t="s">
        <v>291</v>
      </c>
      <c r="D89" s="31">
        <v>2020</v>
      </c>
      <c r="E89" s="44">
        <v>2</v>
      </c>
      <c r="F89" s="31">
        <v>144</v>
      </c>
      <c r="G89" s="31">
        <v>24</v>
      </c>
      <c r="H89" s="31"/>
      <c r="I89" s="31" t="s">
        <v>404</v>
      </c>
      <c r="J89" s="31" t="s">
        <v>292</v>
      </c>
      <c r="K89" s="31">
        <f t="shared" si="8"/>
        <v>32</v>
      </c>
      <c r="L89" s="31">
        <f t="shared" si="9"/>
        <v>5</v>
      </c>
      <c r="M89" s="31">
        <v>1</v>
      </c>
      <c r="N89" s="31">
        <v>4</v>
      </c>
      <c r="O89" s="31">
        <v>0</v>
      </c>
      <c r="P89" s="31"/>
      <c r="Q89" s="31" t="s">
        <v>23</v>
      </c>
      <c r="R89" s="31">
        <f t="shared" si="10"/>
        <v>3</v>
      </c>
      <c r="S89" s="31" t="s">
        <v>11</v>
      </c>
      <c r="T89" s="31" t="s">
        <v>163</v>
      </c>
      <c r="U89" s="31">
        <f t="shared" si="11"/>
        <v>0</v>
      </c>
      <c r="V89" s="31">
        <v>18</v>
      </c>
      <c r="W89" s="31">
        <f t="shared" si="12"/>
        <v>2592</v>
      </c>
      <c r="X89" s="31">
        <v>6</v>
      </c>
      <c r="Y89" s="44">
        <f>Data!I178</f>
        <v>60</v>
      </c>
      <c r="Z89" s="31" t="s">
        <v>293</v>
      </c>
      <c r="AA89" s="31">
        <v>1209600</v>
      </c>
      <c r="AB89" s="31" t="str">
        <f t="shared" si="13"/>
        <v>4</v>
      </c>
      <c r="AC89" s="34">
        <f>AVERAGE(Data!I178:BN178)</f>
        <v>504010</v>
      </c>
      <c r="AD89" s="31" t="str">
        <f t="shared" si="14"/>
        <v>3</v>
      </c>
      <c r="AE89" s="44">
        <f t="shared" si="15"/>
        <v>1209540</v>
      </c>
      <c r="AF89" s="45">
        <f>Data!I179</f>
        <v>0.87384259259259245</v>
      </c>
      <c r="AG89" s="34">
        <f>((Data!J179-Data!I179)+(Data!K179-Data!J179)+(Data!L179-Data!K179)+(Data!M179-Data!L179)+(Data!N179-Data!M179))/5</f>
        <v>-5.6481481481481396E-2</v>
      </c>
    </row>
    <row r="90" spans="1:118" s="3" customFormat="1" ht="12" customHeight="1" x14ac:dyDescent="0.2">
      <c r="A90" s="27">
        <v>43509</v>
      </c>
      <c r="B90" s="32" t="s">
        <v>288</v>
      </c>
      <c r="C90" s="32" t="s">
        <v>71</v>
      </c>
      <c r="D90" s="31">
        <v>2019</v>
      </c>
      <c r="E90" s="44">
        <v>2</v>
      </c>
      <c r="F90" s="31">
        <v>144</v>
      </c>
      <c r="G90" s="31">
        <v>16</v>
      </c>
      <c r="H90" s="31" t="s">
        <v>22</v>
      </c>
      <c r="I90" s="31"/>
      <c r="J90" s="31" t="s">
        <v>292</v>
      </c>
      <c r="K90" s="31">
        <f t="shared" si="8"/>
        <v>32</v>
      </c>
      <c r="L90" s="31">
        <f t="shared" si="9"/>
        <v>5</v>
      </c>
      <c r="M90" s="31">
        <v>1</v>
      </c>
      <c r="N90" s="31">
        <v>4</v>
      </c>
      <c r="O90" s="31">
        <v>0</v>
      </c>
      <c r="P90" s="31"/>
      <c r="Q90" s="31" t="s">
        <v>23</v>
      </c>
      <c r="R90" s="31">
        <f t="shared" si="10"/>
        <v>3</v>
      </c>
      <c r="S90" s="31" t="s">
        <v>11</v>
      </c>
      <c r="T90" s="31" t="s">
        <v>163</v>
      </c>
      <c r="U90" s="31">
        <f t="shared" si="11"/>
        <v>0</v>
      </c>
      <c r="V90" s="31">
        <v>18</v>
      </c>
      <c r="W90" s="31">
        <f t="shared" si="12"/>
        <v>2592</v>
      </c>
      <c r="X90" s="31">
        <v>9</v>
      </c>
      <c r="Y90" s="44">
        <f>Data!I180</f>
        <v>60</v>
      </c>
      <c r="Z90" s="31" t="s">
        <v>105</v>
      </c>
      <c r="AA90" s="31">
        <v>7257600</v>
      </c>
      <c r="AB90" s="31" t="str">
        <f t="shared" si="13"/>
        <v>4</v>
      </c>
      <c r="AC90" s="34">
        <f>AVERAGE(Data!I180:BN180)</f>
        <v>2256006.6666666665</v>
      </c>
      <c r="AD90" s="31" t="str">
        <f t="shared" si="14"/>
        <v>4</v>
      </c>
      <c r="AE90" s="44">
        <f t="shared" si="15"/>
        <v>7257540</v>
      </c>
      <c r="AF90" s="45">
        <f>Data!I181</f>
        <v>1</v>
      </c>
      <c r="AG90" s="34">
        <f>((Data!J181-Data!I181)+(Data!K181-Data!J181)+(Data!L181-Data!K181)+(Data!M181-Data!L181)+(Data!N181-Data!M181)+(Data!O181-Data!N181)+(Data!P181-Data!O181)+(Data!Q181-Data!P181))/8</f>
        <v>-3.8750000000000007E-2</v>
      </c>
    </row>
    <row r="91" spans="1:118" s="3" customFormat="1" ht="12" customHeight="1" x14ac:dyDescent="0.2">
      <c r="A91" s="27">
        <v>43509</v>
      </c>
      <c r="B91" s="32" t="s">
        <v>288</v>
      </c>
      <c r="C91" s="32" t="s">
        <v>71</v>
      </c>
      <c r="D91" s="31">
        <v>2019</v>
      </c>
      <c r="E91" s="44">
        <v>3</v>
      </c>
      <c r="F91" s="31">
        <v>144</v>
      </c>
      <c r="G91" s="31">
        <v>24</v>
      </c>
      <c r="H91" s="31" t="s">
        <v>13</v>
      </c>
      <c r="I91" s="31"/>
      <c r="J91" s="31" t="s">
        <v>190</v>
      </c>
      <c r="K91" s="31">
        <f t="shared" si="8"/>
        <v>21</v>
      </c>
      <c r="L91" s="31">
        <f t="shared" si="9"/>
        <v>4</v>
      </c>
      <c r="M91" s="31">
        <v>1</v>
      </c>
      <c r="N91" s="31">
        <v>4</v>
      </c>
      <c r="O91" s="31">
        <v>0</v>
      </c>
      <c r="P91" s="31"/>
      <c r="Q91" s="31" t="s">
        <v>23</v>
      </c>
      <c r="R91" s="31">
        <f t="shared" si="10"/>
        <v>3</v>
      </c>
      <c r="S91" s="31" t="s">
        <v>11</v>
      </c>
      <c r="T91" s="31" t="s">
        <v>163</v>
      </c>
      <c r="U91" s="31">
        <f t="shared" si="11"/>
        <v>0</v>
      </c>
      <c r="V91" s="31">
        <v>18</v>
      </c>
      <c r="W91" s="31">
        <f t="shared" si="12"/>
        <v>2592</v>
      </c>
      <c r="X91" s="31">
        <v>6</v>
      </c>
      <c r="Y91" s="44">
        <f>Data!I182</f>
        <v>60</v>
      </c>
      <c r="Z91" s="31" t="s">
        <v>104</v>
      </c>
      <c r="AA91" s="31">
        <f>14*24*2600</f>
        <v>873600</v>
      </c>
      <c r="AB91" s="31" t="str">
        <f t="shared" si="13"/>
        <v>4</v>
      </c>
      <c r="AC91" s="34">
        <f>AVERAGE(Data!I182:BN182)</f>
        <v>504010</v>
      </c>
      <c r="AD91" s="31" t="str">
        <f t="shared" si="14"/>
        <v>3</v>
      </c>
      <c r="AE91" s="44">
        <f t="shared" si="15"/>
        <v>873540</v>
      </c>
      <c r="AF91" s="45">
        <f>Data!I183</f>
        <v>0.96467391304347827</v>
      </c>
      <c r="AG91" s="34">
        <f>((Data!J183-Data!I183)+(Data!K183-Data!J183)+(Data!L183-Data!K183)+(Data!M183-Data!L183)+(Data!N183-Data!M183))/5</f>
        <v>-3.3152173913043481E-2</v>
      </c>
    </row>
    <row r="92" spans="1:118" s="3" customFormat="1" ht="12" customHeight="1" x14ac:dyDescent="0.2">
      <c r="A92" s="27">
        <v>43509</v>
      </c>
      <c r="B92" s="54" t="s">
        <v>107</v>
      </c>
      <c r="C92" s="32" t="s">
        <v>50</v>
      </c>
      <c r="D92" s="31">
        <v>1976</v>
      </c>
      <c r="E92" s="44">
        <v>1</v>
      </c>
      <c r="F92" s="31">
        <v>124</v>
      </c>
      <c r="G92" s="31">
        <v>20.7</v>
      </c>
      <c r="H92" s="31" t="s">
        <v>25</v>
      </c>
      <c r="I92" s="31" t="s">
        <v>12</v>
      </c>
      <c r="J92" s="31" t="s">
        <v>12</v>
      </c>
      <c r="K92" s="31">
        <f t="shared" si="8"/>
        <v>9</v>
      </c>
      <c r="L92" s="31">
        <f t="shared" si="9"/>
        <v>2</v>
      </c>
      <c r="M92" s="31">
        <v>0</v>
      </c>
      <c r="N92" s="31">
        <v>1</v>
      </c>
      <c r="O92" s="31">
        <v>0</v>
      </c>
      <c r="P92" s="31"/>
      <c r="Q92" s="31" t="s">
        <v>23</v>
      </c>
      <c r="R92" s="31">
        <f t="shared" si="10"/>
        <v>3</v>
      </c>
      <c r="S92" s="31" t="s">
        <v>11</v>
      </c>
      <c r="T92" s="31" t="s">
        <v>163</v>
      </c>
      <c r="U92" s="31">
        <f t="shared" si="11"/>
        <v>0</v>
      </c>
      <c r="V92" s="31">
        <v>70</v>
      </c>
      <c r="W92" s="31">
        <f t="shared" si="12"/>
        <v>8680</v>
      </c>
      <c r="X92" s="31">
        <v>6</v>
      </c>
      <c r="Y92" s="44">
        <f>Data!I184</f>
        <v>600</v>
      </c>
      <c r="Z92" s="31" t="s">
        <v>108</v>
      </c>
      <c r="AA92" s="31">
        <v>7776000</v>
      </c>
      <c r="AB92" s="31" t="str">
        <f t="shared" si="13"/>
        <v>4</v>
      </c>
      <c r="AC92" s="34">
        <f>AVERAGE(Data!I184:BN184)</f>
        <v>1843900</v>
      </c>
      <c r="AD92" s="31" t="str">
        <f t="shared" si="14"/>
        <v>4</v>
      </c>
      <c r="AE92" s="44">
        <f t="shared" si="15"/>
        <v>7775400</v>
      </c>
      <c r="AF92" s="45">
        <f>Data!I185</f>
        <v>0.52400000000000002</v>
      </c>
      <c r="AG92" s="34">
        <f>((Data!J185-Data!I185)+(Data!K185-Data!J185)+(Data!L185-Data!K185)+(Data!M185-Data!L185)+(Data!N185-Data!M185))/5</f>
        <v>-7.4800000000000005E-2</v>
      </c>
    </row>
    <row r="93" spans="1:118" s="3" customFormat="1" ht="12" customHeight="1" x14ac:dyDescent="0.2">
      <c r="A93" s="27">
        <v>43509</v>
      </c>
      <c r="B93" s="32" t="s">
        <v>107</v>
      </c>
      <c r="C93" s="32" t="s">
        <v>50</v>
      </c>
      <c r="D93" s="31">
        <v>1976</v>
      </c>
      <c r="E93" s="44">
        <v>1</v>
      </c>
      <c r="F93" s="31">
        <v>124</v>
      </c>
      <c r="G93" s="31">
        <v>20.7</v>
      </c>
      <c r="H93" s="31" t="s">
        <v>25</v>
      </c>
      <c r="I93" s="31" t="s">
        <v>186</v>
      </c>
      <c r="J93" s="31" t="s">
        <v>186</v>
      </c>
      <c r="K93" s="31">
        <f t="shared" si="8"/>
        <v>10</v>
      </c>
      <c r="L93" s="31">
        <f t="shared" si="9"/>
        <v>2</v>
      </c>
      <c r="M93" s="31">
        <v>0</v>
      </c>
      <c r="N93" s="31">
        <v>1</v>
      </c>
      <c r="O93" s="31">
        <v>0</v>
      </c>
      <c r="P93" s="31"/>
      <c r="Q93" s="31" t="s">
        <v>23</v>
      </c>
      <c r="R93" s="31">
        <f t="shared" si="10"/>
        <v>3</v>
      </c>
      <c r="S93" s="31" t="s">
        <v>11</v>
      </c>
      <c r="T93" s="31" t="s">
        <v>163</v>
      </c>
      <c r="U93" s="31">
        <f t="shared" si="11"/>
        <v>0</v>
      </c>
      <c r="V93" s="31">
        <v>70</v>
      </c>
      <c r="W93" s="31">
        <f t="shared" si="12"/>
        <v>8680</v>
      </c>
      <c r="X93" s="31">
        <v>6</v>
      </c>
      <c r="Y93" s="44">
        <f>Data!I186</f>
        <v>600</v>
      </c>
      <c r="Z93" s="31" t="s">
        <v>108</v>
      </c>
      <c r="AA93" s="31">
        <v>7776000</v>
      </c>
      <c r="AB93" s="31" t="str">
        <f t="shared" si="13"/>
        <v>4</v>
      </c>
      <c r="AC93" s="34">
        <f>AVERAGE(Data!I186:BN186)</f>
        <v>1843900</v>
      </c>
      <c r="AD93" s="31" t="str">
        <f t="shared" si="14"/>
        <v>4</v>
      </c>
      <c r="AE93" s="44">
        <f t="shared" si="15"/>
        <v>7775400</v>
      </c>
      <c r="AF93" s="45">
        <f>Data!I187</f>
        <v>0.73399999999999999</v>
      </c>
      <c r="AG93" s="34">
        <f>((Data!J187-Data!I187)+(Data!K187-Data!J187)+(Data!L187-Data!K187)+(Data!M187-Data!L187)+(Data!N187-Data!M187))/5</f>
        <v>-0.10440000000000001</v>
      </c>
    </row>
    <row r="94" spans="1:118" s="3" customFormat="1" ht="12" customHeight="1" x14ac:dyDescent="0.25">
      <c r="A94" s="27">
        <v>43978</v>
      </c>
      <c r="B94" s="5" t="s">
        <v>502</v>
      </c>
      <c r="C94" s="5" t="s">
        <v>501</v>
      </c>
      <c r="D94" s="22">
        <v>1995</v>
      </c>
      <c r="E94" s="37">
        <v>1</v>
      </c>
      <c r="F94" s="22">
        <v>25</v>
      </c>
      <c r="G94" s="22">
        <v>25</v>
      </c>
      <c r="H94" s="22" t="s">
        <v>13</v>
      </c>
      <c r="I94" s="22" t="s">
        <v>197</v>
      </c>
      <c r="J94" s="22" t="s">
        <v>187</v>
      </c>
      <c r="K94" s="23">
        <f t="shared" si="8"/>
        <v>7</v>
      </c>
      <c r="L94" s="23">
        <f t="shared" si="9"/>
        <v>1</v>
      </c>
      <c r="M94" s="22">
        <v>1</v>
      </c>
      <c r="N94" s="22">
        <v>2</v>
      </c>
      <c r="O94" s="22">
        <v>0</v>
      </c>
      <c r="P94" s="22"/>
      <c r="Q94" s="22" t="s">
        <v>106</v>
      </c>
      <c r="R94" s="23">
        <f t="shared" si="10"/>
        <v>1</v>
      </c>
      <c r="S94" s="25" t="s">
        <v>31</v>
      </c>
      <c r="T94" s="23" t="s">
        <v>342</v>
      </c>
      <c r="U94" s="23">
        <f t="shared" si="11"/>
        <v>1</v>
      </c>
      <c r="V94" s="23">
        <v>50</v>
      </c>
      <c r="W94" s="23">
        <f t="shared" si="12"/>
        <v>1250</v>
      </c>
      <c r="X94" s="23">
        <v>5</v>
      </c>
      <c r="Y94" s="38">
        <f>Data!I188</f>
        <v>3600</v>
      </c>
      <c r="Z94" s="23" t="s">
        <v>503</v>
      </c>
      <c r="AA94" s="23">
        <f>60*60*24*13</f>
        <v>1123200</v>
      </c>
      <c r="AB94" s="23" t="str">
        <f t="shared" si="13"/>
        <v>4</v>
      </c>
      <c r="AC94" s="19">
        <f>AVERAGE(Data!I188:BN188)</f>
        <v>398160</v>
      </c>
      <c r="AD94" s="23" t="str">
        <f t="shared" si="14"/>
        <v>3</v>
      </c>
      <c r="AE94" s="38">
        <f t="shared" si="15"/>
        <v>1119600</v>
      </c>
      <c r="AF94" s="41">
        <f>Data!I189</f>
        <v>0.947922466569739</v>
      </c>
      <c r="AG94" s="19">
        <f>((Data!J189-Data!I189)+(Data!K189-Data!J189)+(Data!L189-Data!K189)+(Data!M189-Data!L189))/4</f>
        <v>-1.9560261400409007E-2</v>
      </c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</row>
    <row r="95" spans="1:118" s="3" customFormat="1" ht="12" customHeight="1" x14ac:dyDescent="0.2">
      <c r="A95" s="27">
        <v>43509</v>
      </c>
      <c r="B95" s="32" t="s">
        <v>109</v>
      </c>
      <c r="C95" s="32" t="s">
        <v>110</v>
      </c>
      <c r="D95" s="31">
        <v>1978</v>
      </c>
      <c r="E95" s="44">
        <v>1</v>
      </c>
      <c r="F95" s="31">
        <v>207</v>
      </c>
      <c r="G95" s="31">
        <v>41.4</v>
      </c>
      <c r="H95" s="31" t="s">
        <v>24</v>
      </c>
      <c r="I95" s="31" t="s">
        <v>407</v>
      </c>
      <c r="J95" s="31" t="s">
        <v>343</v>
      </c>
      <c r="K95" s="31">
        <f t="shared" si="8"/>
        <v>43</v>
      </c>
      <c r="L95" s="31">
        <f t="shared" si="9"/>
        <v>7</v>
      </c>
      <c r="M95" s="31">
        <v>1</v>
      </c>
      <c r="N95" s="31">
        <v>4</v>
      </c>
      <c r="O95" s="31">
        <v>0</v>
      </c>
      <c r="P95" s="31"/>
      <c r="Q95" s="31" t="s">
        <v>111</v>
      </c>
      <c r="R95" s="31">
        <f t="shared" si="10"/>
        <v>4</v>
      </c>
      <c r="S95" s="31" t="s">
        <v>11</v>
      </c>
      <c r="T95" s="31" t="s">
        <v>163</v>
      </c>
      <c r="U95" s="31">
        <f t="shared" si="11"/>
        <v>0</v>
      </c>
      <c r="V95" s="31">
        <v>9</v>
      </c>
      <c r="W95" s="31">
        <f t="shared" si="12"/>
        <v>1863</v>
      </c>
      <c r="X95" s="31">
        <v>5</v>
      </c>
      <c r="Y95" s="44">
        <f>Data!I190</f>
        <v>10368000</v>
      </c>
      <c r="Z95" s="31" t="s">
        <v>112</v>
      </c>
      <c r="AA95" s="31">
        <v>41472000</v>
      </c>
      <c r="AB95" s="31" t="str">
        <f t="shared" si="13"/>
        <v>4</v>
      </c>
      <c r="AC95" s="34">
        <f>AVERAGE(Data!I190:BN190)</f>
        <v>25920000</v>
      </c>
      <c r="AD95" s="31" t="str">
        <f t="shared" si="14"/>
        <v>4</v>
      </c>
      <c r="AE95" s="44">
        <f t="shared" si="15"/>
        <v>31104000</v>
      </c>
      <c r="AF95" s="45">
        <f>Data!I191</f>
        <v>0.66222222222222227</v>
      </c>
      <c r="AG95" s="34">
        <f>((Data!J191-Data!I191)+(Data!K191-Data!J191)+(Data!L191-Data!K191)+(Data!M191-Data!L191))/4</f>
        <v>-2.1944444444444461E-2</v>
      </c>
      <c r="DN95" s="4"/>
    </row>
    <row r="96" spans="1:118" s="3" customFormat="1" ht="12" customHeight="1" x14ac:dyDescent="0.2">
      <c r="A96" s="27">
        <v>43509</v>
      </c>
      <c r="B96" s="32" t="s">
        <v>109</v>
      </c>
      <c r="C96" s="32" t="s">
        <v>110</v>
      </c>
      <c r="D96" s="31">
        <v>1978</v>
      </c>
      <c r="E96" s="44">
        <v>1</v>
      </c>
      <c r="F96" s="31">
        <v>207</v>
      </c>
      <c r="G96" s="31">
        <v>41.4</v>
      </c>
      <c r="H96" s="31" t="s">
        <v>24</v>
      </c>
      <c r="I96" s="31" t="s">
        <v>408</v>
      </c>
      <c r="J96" s="31" t="s">
        <v>343</v>
      </c>
      <c r="K96" s="31">
        <f t="shared" si="8"/>
        <v>43</v>
      </c>
      <c r="L96" s="31">
        <f t="shared" si="9"/>
        <v>7</v>
      </c>
      <c r="M96" s="31">
        <v>1</v>
      </c>
      <c r="N96" s="31">
        <v>4</v>
      </c>
      <c r="O96" s="31">
        <v>0</v>
      </c>
      <c r="P96" s="31"/>
      <c r="Q96" s="31" t="s">
        <v>111</v>
      </c>
      <c r="R96" s="31">
        <f t="shared" si="10"/>
        <v>4</v>
      </c>
      <c r="S96" s="31" t="s">
        <v>11</v>
      </c>
      <c r="T96" s="31" t="s">
        <v>163</v>
      </c>
      <c r="U96" s="31">
        <f t="shared" si="11"/>
        <v>0</v>
      </c>
      <c r="V96" s="31">
        <v>6</v>
      </c>
      <c r="W96" s="31">
        <f t="shared" si="12"/>
        <v>1242</v>
      </c>
      <c r="X96" s="31">
        <v>5</v>
      </c>
      <c r="Y96" s="44">
        <f>Data!I192</f>
        <v>10368000</v>
      </c>
      <c r="Z96" s="31" t="s">
        <v>112</v>
      </c>
      <c r="AA96" s="31">
        <v>41472000</v>
      </c>
      <c r="AB96" s="31" t="str">
        <f t="shared" si="13"/>
        <v>4</v>
      </c>
      <c r="AC96" s="34">
        <f>AVERAGE(Data!I192:BN192)</f>
        <v>25920000</v>
      </c>
      <c r="AD96" s="31" t="str">
        <f t="shared" si="14"/>
        <v>4</v>
      </c>
      <c r="AE96" s="44">
        <f t="shared" si="15"/>
        <v>31104000</v>
      </c>
      <c r="AF96" s="45">
        <f>Data!I193</f>
        <v>0.72499999999999998</v>
      </c>
      <c r="AG96" s="34">
        <f>((Data!J193-Data!I193)+(Data!K193-Data!J193)+(Data!L193-Data!K193)+(Data!M193-Data!L193))/4</f>
        <v>-1.1666666666666659E-2</v>
      </c>
    </row>
    <row r="97" spans="1:118" s="3" customFormat="1" ht="12" customHeight="1" x14ac:dyDescent="0.2">
      <c r="A97" s="27">
        <v>43509</v>
      </c>
      <c r="B97" s="32" t="s">
        <v>109</v>
      </c>
      <c r="C97" s="32" t="s">
        <v>110</v>
      </c>
      <c r="D97" s="31">
        <v>1978</v>
      </c>
      <c r="E97" s="44">
        <v>1</v>
      </c>
      <c r="F97" s="31">
        <v>207</v>
      </c>
      <c r="G97" s="31">
        <v>41.4</v>
      </c>
      <c r="H97" s="31" t="s">
        <v>24</v>
      </c>
      <c r="I97" s="31" t="s">
        <v>410</v>
      </c>
      <c r="J97" s="31" t="s">
        <v>343</v>
      </c>
      <c r="K97" s="31">
        <f t="shared" si="8"/>
        <v>43</v>
      </c>
      <c r="L97" s="31">
        <f t="shared" si="9"/>
        <v>7</v>
      </c>
      <c r="M97" s="31">
        <v>1</v>
      </c>
      <c r="N97" s="31">
        <v>4</v>
      </c>
      <c r="O97" s="31">
        <v>0</v>
      </c>
      <c r="P97" s="31"/>
      <c r="Q97" s="31" t="s">
        <v>111</v>
      </c>
      <c r="R97" s="31">
        <f t="shared" si="10"/>
        <v>4</v>
      </c>
      <c r="S97" s="31" t="s">
        <v>11</v>
      </c>
      <c r="T97" s="31" t="s">
        <v>163</v>
      </c>
      <c r="U97" s="31">
        <f t="shared" si="11"/>
        <v>0</v>
      </c>
      <c r="V97" s="31">
        <v>3</v>
      </c>
      <c r="W97" s="31">
        <f t="shared" si="12"/>
        <v>621</v>
      </c>
      <c r="X97" s="31">
        <v>5</v>
      </c>
      <c r="Y97" s="44">
        <f>Data!I194</f>
        <v>10368000</v>
      </c>
      <c r="Z97" s="31" t="s">
        <v>112</v>
      </c>
      <c r="AA97" s="31">
        <v>41472000</v>
      </c>
      <c r="AB97" s="31" t="str">
        <f t="shared" si="13"/>
        <v>4</v>
      </c>
      <c r="AC97" s="34">
        <f>AVERAGE(Data!I194:BN194)</f>
        <v>25920000</v>
      </c>
      <c r="AD97" s="31" t="str">
        <f t="shared" si="14"/>
        <v>4</v>
      </c>
      <c r="AE97" s="44">
        <f t="shared" si="15"/>
        <v>31104000</v>
      </c>
      <c r="AF97" s="45">
        <f>Data!I195</f>
        <v>0.51666666666666672</v>
      </c>
      <c r="AG97" s="47">
        <f>((Data!J195-Data!I195)+(Data!K195-Data!J195)+(Data!L195-Data!K195)+(Data!M195-Data!L195))/4</f>
        <v>-2.5000000000000022E-3</v>
      </c>
    </row>
    <row r="98" spans="1:118" s="3" customFormat="1" ht="12" customHeight="1" x14ac:dyDescent="0.2">
      <c r="A98" s="27">
        <v>43509</v>
      </c>
      <c r="B98" s="32" t="s">
        <v>109</v>
      </c>
      <c r="C98" s="32" t="s">
        <v>110</v>
      </c>
      <c r="D98" s="31">
        <v>1978</v>
      </c>
      <c r="E98" s="44">
        <v>1</v>
      </c>
      <c r="F98" s="31">
        <v>189</v>
      </c>
      <c r="G98" s="31">
        <v>37.799999999999997</v>
      </c>
      <c r="H98" s="31" t="s">
        <v>24</v>
      </c>
      <c r="I98" s="31" t="s">
        <v>411</v>
      </c>
      <c r="J98" s="31" t="s">
        <v>343</v>
      </c>
      <c r="K98" s="31">
        <f t="shared" si="8"/>
        <v>43</v>
      </c>
      <c r="L98" s="31">
        <f t="shared" si="9"/>
        <v>7</v>
      </c>
      <c r="M98" s="31">
        <v>1</v>
      </c>
      <c r="N98" s="31">
        <v>4</v>
      </c>
      <c r="O98" s="31">
        <v>0</v>
      </c>
      <c r="P98" s="31"/>
      <c r="Q98" s="31" t="s">
        <v>111</v>
      </c>
      <c r="R98" s="31">
        <f t="shared" si="10"/>
        <v>4</v>
      </c>
      <c r="S98" s="31" t="s">
        <v>11</v>
      </c>
      <c r="T98" s="31" t="s">
        <v>163</v>
      </c>
      <c r="U98" s="31">
        <f t="shared" si="11"/>
        <v>0</v>
      </c>
      <c r="V98" s="31">
        <v>9</v>
      </c>
      <c r="W98" s="31">
        <f t="shared" si="12"/>
        <v>1701</v>
      </c>
      <c r="X98" s="31">
        <v>5</v>
      </c>
      <c r="Y98" s="44">
        <f>Data!I196</f>
        <v>10368000</v>
      </c>
      <c r="Z98" s="31" t="s">
        <v>112</v>
      </c>
      <c r="AA98" s="31">
        <v>41472000</v>
      </c>
      <c r="AB98" s="31" t="str">
        <f t="shared" si="13"/>
        <v>4</v>
      </c>
      <c r="AC98" s="34">
        <f>AVERAGE(Data!I196:BN196)</f>
        <v>25920000</v>
      </c>
      <c r="AD98" s="31" t="str">
        <f t="shared" si="14"/>
        <v>4</v>
      </c>
      <c r="AE98" s="44">
        <f t="shared" si="15"/>
        <v>31104000</v>
      </c>
      <c r="AF98" s="45">
        <f>Data!I197</f>
        <v>0.65333333333333332</v>
      </c>
      <c r="AG98" s="34">
        <f>((Data!J197-Data!I197)+(Data!K197-Data!J197)+(Data!L197-Data!K197)+(Data!M197-Data!L197))/4</f>
        <v>-4.416666666666666E-2</v>
      </c>
    </row>
    <row r="99" spans="1:118" s="3" customFormat="1" ht="12" customHeight="1" x14ac:dyDescent="0.2">
      <c r="A99" s="27">
        <v>43509</v>
      </c>
      <c r="B99" s="32" t="s">
        <v>109</v>
      </c>
      <c r="C99" s="32" t="s">
        <v>110</v>
      </c>
      <c r="D99" s="31">
        <v>1978</v>
      </c>
      <c r="E99" s="44">
        <v>1</v>
      </c>
      <c r="F99" s="31">
        <v>189</v>
      </c>
      <c r="G99" s="31">
        <v>37.799999999999997</v>
      </c>
      <c r="H99" s="31" t="s">
        <v>24</v>
      </c>
      <c r="I99" s="31" t="s">
        <v>412</v>
      </c>
      <c r="J99" s="31" t="s">
        <v>343</v>
      </c>
      <c r="K99" s="31">
        <f t="shared" si="8"/>
        <v>43</v>
      </c>
      <c r="L99" s="31">
        <f t="shared" si="9"/>
        <v>7</v>
      </c>
      <c r="M99" s="31">
        <v>1</v>
      </c>
      <c r="N99" s="31">
        <v>4</v>
      </c>
      <c r="O99" s="31">
        <v>0</v>
      </c>
      <c r="P99" s="31"/>
      <c r="Q99" s="31" t="s">
        <v>111</v>
      </c>
      <c r="R99" s="31">
        <f t="shared" si="10"/>
        <v>4</v>
      </c>
      <c r="S99" s="31" t="s">
        <v>11</v>
      </c>
      <c r="T99" s="31" t="s">
        <v>163</v>
      </c>
      <c r="U99" s="31">
        <f t="shared" si="11"/>
        <v>0</v>
      </c>
      <c r="V99" s="31">
        <v>6</v>
      </c>
      <c r="W99" s="31">
        <f t="shared" si="12"/>
        <v>1134</v>
      </c>
      <c r="X99" s="31">
        <v>5</v>
      </c>
      <c r="Y99" s="44">
        <f>Data!I198</f>
        <v>10368000</v>
      </c>
      <c r="Z99" s="31" t="s">
        <v>112</v>
      </c>
      <c r="AA99" s="31">
        <v>41472000</v>
      </c>
      <c r="AB99" s="31" t="str">
        <f t="shared" si="13"/>
        <v>4</v>
      </c>
      <c r="AC99" s="34">
        <f>AVERAGE(Data!I198:BN198)</f>
        <v>25920000</v>
      </c>
      <c r="AD99" s="31" t="str">
        <f t="shared" si="14"/>
        <v>4</v>
      </c>
      <c r="AE99" s="44">
        <f t="shared" si="15"/>
        <v>31104000</v>
      </c>
      <c r="AF99" s="45">
        <f>Data!I199</f>
        <v>0.73166666666666658</v>
      </c>
      <c r="AG99" s="34">
        <f>((Data!J199-Data!I199)+(Data!K199-Data!J199)+(Data!L199-Data!K199)+(Data!M199-Data!L199))/4</f>
        <v>-3.3333333333333326E-2</v>
      </c>
    </row>
    <row r="100" spans="1:118" ht="12" customHeight="1" x14ac:dyDescent="0.2">
      <c r="A100" s="27">
        <v>43509</v>
      </c>
      <c r="B100" s="32" t="s">
        <v>72</v>
      </c>
      <c r="C100" s="32" t="s">
        <v>15</v>
      </c>
      <c r="D100" s="31">
        <v>1936</v>
      </c>
      <c r="E100" s="44">
        <v>1</v>
      </c>
      <c r="F100" s="31">
        <v>1</v>
      </c>
      <c r="G100" s="31">
        <v>1</v>
      </c>
      <c r="H100" s="31" t="s">
        <v>32</v>
      </c>
      <c r="I100" s="31" t="s">
        <v>415</v>
      </c>
      <c r="J100" s="31" t="s">
        <v>174</v>
      </c>
      <c r="K100" s="31">
        <f t="shared" si="8"/>
        <v>1</v>
      </c>
      <c r="L100" s="31">
        <f t="shared" si="9"/>
        <v>1</v>
      </c>
      <c r="M100" s="31">
        <v>1</v>
      </c>
      <c r="N100" s="31">
        <v>2</v>
      </c>
      <c r="O100" s="31">
        <v>0</v>
      </c>
      <c r="P100" s="31"/>
      <c r="Q100" s="31" t="s">
        <v>59</v>
      </c>
      <c r="R100" s="31">
        <f t="shared" si="10"/>
        <v>5</v>
      </c>
      <c r="S100" s="31" t="s">
        <v>66</v>
      </c>
      <c r="T100" s="46" t="s">
        <v>342</v>
      </c>
      <c r="U100" s="31">
        <f t="shared" si="11"/>
        <v>1</v>
      </c>
      <c r="V100" s="46">
        <v>72</v>
      </c>
      <c r="W100" s="31">
        <f t="shared" si="12"/>
        <v>72</v>
      </c>
      <c r="X100" s="31">
        <v>6</v>
      </c>
      <c r="Y100" s="44">
        <f>Data!I200</f>
        <v>30</v>
      </c>
      <c r="Z100" s="31" t="s">
        <v>73</v>
      </c>
      <c r="AA100" s="31">
        <v>518400</v>
      </c>
      <c r="AB100" s="31" t="str">
        <f t="shared" si="13"/>
        <v>3</v>
      </c>
      <c r="AC100" s="34">
        <f>AVERAGE(Data!I200:BN200)</f>
        <v>230405</v>
      </c>
      <c r="AD100" s="31" t="str">
        <f t="shared" si="14"/>
        <v>3</v>
      </c>
      <c r="AE100" s="44">
        <f t="shared" si="15"/>
        <v>518370</v>
      </c>
      <c r="AF100" s="45">
        <f>Data!I201</f>
        <v>1</v>
      </c>
      <c r="AG100" s="34">
        <f>((Data!J201-Data!I201)+(Data!K201-Data!J201)+(Data!L201-Data!K201)+(Data!M201-Data!L201)+(Data!N201-Data!M201))/5</f>
        <v>-0.14440000000000003</v>
      </c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</row>
    <row r="101" spans="1:118" ht="12" customHeight="1" x14ac:dyDescent="0.2">
      <c r="A101" s="27">
        <v>43509</v>
      </c>
      <c r="B101" s="32" t="s">
        <v>72</v>
      </c>
      <c r="C101" s="32" t="s">
        <v>15</v>
      </c>
      <c r="D101" s="31">
        <v>1936</v>
      </c>
      <c r="E101" s="44">
        <v>1</v>
      </c>
      <c r="F101" s="31">
        <v>1</v>
      </c>
      <c r="G101" s="31">
        <v>1</v>
      </c>
      <c r="H101" s="31" t="s">
        <v>32</v>
      </c>
      <c r="I101" s="31" t="s">
        <v>416</v>
      </c>
      <c r="J101" s="31" t="s">
        <v>174</v>
      </c>
      <c r="K101" s="31">
        <f t="shared" si="8"/>
        <v>1</v>
      </c>
      <c r="L101" s="31">
        <f t="shared" si="9"/>
        <v>1</v>
      </c>
      <c r="M101" s="31">
        <v>1</v>
      </c>
      <c r="N101" s="31">
        <v>2</v>
      </c>
      <c r="O101" s="31">
        <v>0</v>
      </c>
      <c r="P101" s="31"/>
      <c r="Q101" s="31" t="s">
        <v>59</v>
      </c>
      <c r="R101" s="31">
        <f t="shared" si="10"/>
        <v>5</v>
      </c>
      <c r="S101" s="31" t="s">
        <v>66</v>
      </c>
      <c r="T101" s="46" t="s">
        <v>342</v>
      </c>
      <c r="U101" s="31">
        <f t="shared" si="11"/>
        <v>1</v>
      </c>
      <c r="V101" s="46">
        <v>72</v>
      </c>
      <c r="W101" s="31">
        <f t="shared" si="12"/>
        <v>72</v>
      </c>
      <c r="X101" s="31">
        <v>6</v>
      </c>
      <c r="Y101" s="44">
        <f>Data!I202</f>
        <v>30</v>
      </c>
      <c r="Z101" s="31" t="s">
        <v>73</v>
      </c>
      <c r="AA101" s="31">
        <v>518400</v>
      </c>
      <c r="AB101" s="31" t="str">
        <f t="shared" si="13"/>
        <v>3</v>
      </c>
      <c r="AC101" s="34">
        <f>AVERAGE(Data!I202:BN202)</f>
        <v>230405</v>
      </c>
      <c r="AD101" s="31" t="str">
        <f t="shared" si="14"/>
        <v>3</v>
      </c>
      <c r="AE101" s="44">
        <f t="shared" si="15"/>
        <v>518370</v>
      </c>
      <c r="AF101" s="45">
        <f>Data!I203</f>
        <v>1</v>
      </c>
      <c r="AG101" s="34">
        <f>((Data!J203-Data!I203)+(Data!K203-Data!J203)+(Data!L203-Data!K203)+(Data!M203-Data!L203)+(Data!N203-Data!M203))/5</f>
        <v>-0.11280000000000001</v>
      </c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</row>
    <row r="102" spans="1:118" ht="12" customHeight="1" x14ac:dyDescent="0.2">
      <c r="A102" s="27">
        <v>43899</v>
      </c>
      <c r="B102" s="1" t="s">
        <v>234</v>
      </c>
      <c r="C102" s="1" t="s">
        <v>235</v>
      </c>
      <c r="D102" s="23">
        <v>2001</v>
      </c>
      <c r="E102" s="38">
        <v>1</v>
      </c>
      <c r="F102" s="23">
        <v>8</v>
      </c>
      <c r="G102" s="23">
        <v>8</v>
      </c>
      <c r="H102" s="23" t="s">
        <v>25</v>
      </c>
      <c r="I102" s="23"/>
      <c r="J102" s="23" t="s">
        <v>208</v>
      </c>
      <c r="K102" s="23">
        <f t="shared" si="8"/>
        <v>26</v>
      </c>
      <c r="L102" s="23">
        <f t="shared" si="9"/>
        <v>4</v>
      </c>
      <c r="M102" s="23">
        <v>1</v>
      </c>
      <c r="N102" s="24">
        <v>2</v>
      </c>
      <c r="O102" s="23">
        <v>0</v>
      </c>
      <c r="P102" s="23"/>
      <c r="Q102" s="23" t="s">
        <v>106</v>
      </c>
      <c r="R102" s="23">
        <f t="shared" si="10"/>
        <v>1</v>
      </c>
      <c r="S102" s="23" t="s">
        <v>31</v>
      </c>
      <c r="T102" s="22" t="s">
        <v>342</v>
      </c>
      <c r="U102" s="23">
        <f t="shared" si="11"/>
        <v>1</v>
      </c>
      <c r="V102" s="22">
        <v>78</v>
      </c>
      <c r="W102" s="23">
        <f t="shared" si="12"/>
        <v>624</v>
      </c>
      <c r="X102" s="23">
        <v>6</v>
      </c>
      <c r="Y102" s="38">
        <f>Data!I204</f>
        <v>157680000</v>
      </c>
      <c r="Z102" s="23" t="s">
        <v>230</v>
      </c>
      <c r="AA102" s="23">
        <f>55*365*24*60*60</f>
        <v>1734480000</v>
      </c>
      <c r="AB102" s="23" t="str">
        <f t="shared" si="13"/>
        <v>4</v>
      </c>
      <c r="AC102" s="19">
        <f>AVERAGE(Data!I204:BN204)</f>
        <v>946080000</v>
      </c>
      <c r="AD102" s="23" t="str">
        <f t="shared" si="14"/>
        <v>4</v>
      </c>
      <c r="AE102" s="38">
        <f t="shared" si="15"/>
        <v>1576800000</v>
      </c>
      <c r="AF102" s="41">
        <f>Data!I205</f>
        <v>0.47</v>
      </c>
      <c r="AG102" s="21">
        <f>((Data!J205-Data!I205)+(Data!K205-Data!J205)+(Data!L205-Data!K205)+(Data!M205-Data!L205)+(Data!N205-Data!M205))/5</f>
        <v>-1.9999999999999905E-3</v>
      </c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</row>
    <row r="103" spans="1:118" ht="12" customHeight="1" x14ac:dyDescent="0.2">
      <c r="A103" s="27">
        <v>43899</v>
      </c>
      <c r="B103" s="1" t="s">
        <v>234</v>
      </c>
      <c r="C103" s="1" t="s">
        <v>235</v>
      </c>
      <c r="D103" s="23">
        <v>2001</v>
      </c>
      <c r="E103" s="38">
        <v>1</v>
      </c>
      <c r="F103" s="23">
        <v>8</v>
      </c>
      <c r="G103" s="23">
        <v>8</v>
      </c>
      <c r="H103" s="23" t="s">
        <v>25</v>
      </c>
      <c r="I103" s="23"/>
      <c r="J103" s="23" t="s">
        <v>208</v>
      </c>
      <c r="K103" s="23">
        <f t="shared" si="8"/>
        <v>26</v>
      </c>
      <c r="L103" s="23">
        <f t="shared" si="9"/>
        <v>4</v>
      </c>
      <c r="M103" s="23">
        <v>1</v>
      </c>
      <c r="N103" s="24">
        <v>2</v>
      </c>
      <c r="O103" s="23">
        <v>0</v>
      </c>
      <c r="P103" s="23"/>
      <c r="Q103" s="23" t="s">
        <v>111</v>
      </c>
      <c r="R103" s="23">
        <f t="shared" si="10"/>
        <v>4</v>
      </c>
      <c r="S103" s="23" t="s">
        <v>11</v>
      </c>
      <c r="T103" s="22" t="s">
        <v>342</v>
      </c>
      <c r="U103" s="23">
        <f t="shared" si="11"/>
        <v>1</v>
      </c>
      <c r="V103" s="22">
        <v>78</v>
      </c>
      <c r="W103" s="23">
        <f t="shared" si="12"/>
        <v>624</v>
      </c>
      <c r="X103" s="23">
        <v>6</v>
      </c>
      <c r="Y103" s="38">
        <f>Data!I206</f>
        <v>157680000</v>
      </c>
      <c r="Z103" s="23" t="s">
        <v>230</v>
      </c>
      <c r="AA103" s="23">
        <f>55*365*24*60*60</f>
        <v>1734480000</v>
      </c>
      <c r="AB103" s="23" t="str">
        <f t="shared" si="13"/>
        <v>4</v>
      </c>
      <c r="AC103" s="19">
        <f>AVERAGE(Data!I206:BN206)</f>
        <v>946080000</v>
      </c>
      <c r="AD103" s="23" t="str">
        <f t="shared" si="14"/>
        <v>4</v>
      </c>
      <c r="AE103" s="38">
        <f t="shared" si="15"/>
        <v>1576800000</v>
      </c>
      <c r="AF103" s="41">
        <f>Data!I207</f>
        <v>0.86</v>
      </c>
      <c r="AG103" s="19">
        <f>((Data!J207-Data!I207)+(Data!K207-Data!J207)+(Data!L207-Data!K207)+(Data!M207-Data!L207)+(Data!N207-Data!M207))/5</f>
        <v>-6.0000000000000053E-3</v>
      </c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</row>
    <row r="104" spans="1:118" ht="12" customHeight="1" x14ac:dyDescent="0.2">
      <c r="A104" s="27">
        <v>43902</v>
      </c>
      <c r="B104" s="1" t="s">
        <v>280</v>
      </c>
      <c r="C104" s="1" t="s">
        <v>260</v>
      </c>
      <c r="D104" s="23">
        <v>1986</v>
      </c>
      <c r="E104" s="38">
        <v>1</v>
      </c>
      <c r="F104" s="23">
        <v>18</v>
      </c>
      <c r="G104" s="23">
        <v>18</v>
      </c>
      <c r="H104" s="23" t="s">
        <v>32</v>
      </c>
      <c r="I104" s="23" t="s">
        <v>197</v>
      </c>
      <c r="J104" s="23" t="s">
        <v>202</v>
      </c>
      <c r="K104" s="23">
        <f t="shared" si="8"/>
        <v>39</v>
      </c>
      <c r="L104" s="23">
        <f t="shared" si="9"/>
        <v>6</v>
      </c>
      <c r="M104" s="23">
        <v>1</v>
      </c>
      <c r="N104" s="24">
        <v>3</v>
      </c>
      <c r="O104" s="23">
        <v>0</v>
      </c>
      <c r="P104" s="23"/>
      <c r="Q104" s="23" t="s">
        <v>106</v>
      </c>
      <c r="R104" s="23">
        <f t="shared" si="10"/>
        <v>1</v>
      </c>
      <c r="S104" s="23" t="s">
        <v>31</v>
      </c>
      <c r="T104" s="22" t="s">
        <v>342</v>
      </c>
      <c r="U104" s="23">
        <f t="shared" si="11"/>
        <v>1</v>
      </c>
      <c r="V104" s="22">
        <v>48</v>
      </c>
      <c r="W104" s="23">
        <f t="shared" si="12"/>
        <v>864</v>
      </c>
      <c r="X104" s="23">
        <v>6</v>
      </c>
      <c r="Y104" s="38">
        <f>Data!I208</f>
        <v>315360000</v>
      </c>
      <c r="Z104" s="23" t="s">
        <v>254</v>
      </c>
      <c r="AA104" s="23">
        <f>60*365*24*60*60</f>
        <v>1892160000</v>
      </c>
      <c r="AB104" s="23" t="str">
        <f t="shared" si="13"/>
        <v>4</v>
      </c>
      <c r="AC104" s="19">
        <f>AVERAGE(Data!I208:BN208)</f>
        <v>1103760000</v>
      </c>
      <c r="AD104" s="23" t="str">
        <f t="shared" si="14"/>
        <v>4</v>
      </c>
      <c r="AE104" s="38">
        <f t="shared" si="15"/>
        <v>1576800000</v>
      </c>
      <c r="AF104" s="41">
        <f>Data!I209</f>
        <v>0.68750000000000011</v>
      </c>
      <c r="AG104" s="19">
        <f>((Data!J209-Data!I209)+(Data!K209-Data!J209)+(Data!L209-Data!K209)+(Data!M209-Data!L209)+(Data!N209-Data!M209))/5</f>
        <v>-5.5851063829787332E-3</v>
      </c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</row>
    <row r="105" spans="1:118" ht="12" customHeight="1" x14ac:dyDescent="0.2">
      <c r="A105" s="27">
        <v>43902</v>
      </c>
      <c r="B105" s="1" t="s">
        <v>280</v>
      </c>
      <c r="C105" s="1" t="s">
        <v>260</v>
      </c>
      <c r="D105" s="23">
        <v>1986</v>
      </c>
      <c r="E105" s="38">
        <v>1</v>
      </c>
      <c r="F105" s="23">
        <v>18</v>
      </c>
      <c r="G105" s="23">
        <v>18</v>
      </c>
      <c r="H105" s="23" t="s">
        <v>25</v>
      </c>
      <c r="I105" s="23" t="s">
        <v>197</v>
      </c>
      <c r="J105" s="23" t="s">
        <v>202</v>
      </c>
      <c r="K105" s="23">
        <f t="shared" si="8"/>
        <v>39</v>
      </c>
      <c r="L105" s="23">
        <f t="shared" si="9"/>
        <v>6</v>
      </c>
      <c r="M105" s="23">
        <v>1</v>
      </c>
      <c r="N105" s="24">
        <v>3</v>
      </c>
      <c r="O105" s="23">
        <v>0</v>
      </c>
      <c r="P105" s="23"/>
      <c r="Q105" s="23" t="s">
        <v>111</v>
      </c>
      <c r="R105" s="23">
        <f t="shared" si="10"/>
        <v>4</v>
      </c>
      <c r="S105" s="23" t="s">
        <v>11</v>
      </c>
      <c r="T105" s="22" t="s">
        <v>342</v>
      </c>
      <c r="U105" s="23">
        <f t="shared" si="11"/>
        <v>1</v>
      </c>
      <c r="V105" s="22">
        <v>48</v>
      </c>
      <c r="W105" s="23">
        <f t="shared" si="12"/>
        <v>864</v>
      </c>
      <c r="X105" s="23">
        <v>6</v>
      </c>
      <c r="Y105" s="38">
        <f>Data!I210</f>
        <v>315360000</v>
      </c>
      <c r="Z105" s="23" t="s">
        <v>254</v>
      </c>
      <c r="AA105" s="23">
        <f>60*365*24*60*60</f>
        <v>1892160000</v>
      </c>
      <c r="AB105" s="23" t="str">
        <f t="shared" si="13"/>
        <v>4</v>
      </c>
      <c r="AC105" s="19">
        <f>AVERAGE(Data!I210:BN210)</f>
        <v>1103760000</v>
      </c>
      <c r="AD105" s="23" t="str">
        <f t="shared" si="14"/>
        <v>4</v>
      </c>
      <c r="AE105" s="38">
        <f t="shared" si="15"/>
        <v>1576800000</v>
      </c>
      <c r="AF105" s="41">
        <f>Data!I211</f>
        <v>0.69902912621359214</v>
      </c>
      <c r="AG105" s="19">
        <f>((Data!J211-Data!I211)+(Data!K211-Data!J211)+(Data!L211-Data!K211)+(Data!M211-Data!L211)+(Data!N211-Data!M211))/5</f>
        <v>-2.7736859725477035E-2</v>
      </c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</row>
    <row r="106" spans="1:118" ht="12" customHeight="1" x14ac:dyDescent="0.2">
      <c r="A106" s="27">
        <v>43902</v>
      </c>
      <c r="B106" s="1" t="s">
        <v>280</v>
      </c>
      <c r="C106" s="1" t="s">
        <v>260</v>
      </c>
      <c r="D106" s="23">
        <v>1986</v>
      </c>
      <c r="E106" s="38">
        <v>1</v>
      </c>
      <c r="F106" s="23">
        <v>18</v>
      </c>
      <c r="G106" s="23">
        <v>18</v>
      </c>
      <c r="H106" s="23" t="s">
        <v>22</v>
      </c>
      <c r="I106" s="23" t="s">
        <v>197</v>
      </c>
      <c r="J106" s="23" t="s">
        <v>208</v>
      </c>
      <c r="K106" s="23">
        <f t="shared" si="8"/>
        <v>26</v>
      </c>
      <c r="L106" s="23">
        <f t="shared" si="9"/>
        <v>4</v>
      </c>
      <c r="M106" s="23">
        <v>1</v>
      </c>
      <c r="N106" s="24">
        <v>3</v>
      </c>
      <c r="O106" s="23">
        <v>0</v>
      </c>
      <c r="P106" s="23"/>
      <c r="Q106" s="23" t="s">
        <v>106</v>
      </c>
      <c r="R106" s="23">
        <f t="shared" si="10"/>
        <v>1</v>
      </c>
      <c r="S106" s="23" t="s">
        <v>31</v>
      </c>
      <c r="T106" s="22" t="s">
        <v>342</v>
      </c>
      <c r="U106" s="23">
        <f t="shared" si="11"/>
        <v>1</v>
      </c>
      <c r="V106" s="22">
        <v>48</v>
      </c>
      <c r="W106" s="23">
        <f t="shared" si="12"/>
        <v>864</v>
      </c>
      <c r="X106" s="23">
        <v>6</v>
      </c>
      <c r="Y106" s="38">
        <f>Data!I212</f>
        <v>315360000</v>
      </c>
      <c r="Z106" s="23" t="s">
        <v>254</v>
      </c>
      <c r="AA106" s="23">
        <f>60*365*24*60*60</f>
        <v>1892160000</v>
      </c>
      <c r="AB106" s="23" t="str">
        <f t="shared" si="13"/>
        <v>4</v>
      </c>
      <c r="AC106" s="19">
        <f>AVERAGE(Data!I212:BN212)</f>
        <v>1103760000</v>
      </c>
      <c r="AD106" s="23" t="str">
        <f t="shared" si="14"/>
        <v>4</v>
      </c>
      <c r="AE106" s="38">
        <f t="shared" si="15"/>
        <v>1576800000</v>
      </c>
      <c r="AF106" s="41">
        <f>Data!I213</f>
        <v>0.76</v>
      </c>
      <c r="AG106" s="19">
        <f>((Data!J213-Data!I213)+(Data!K213-Data!J213)+(Data!L213-Data!K213)+(Data!M213-Data!L213)+(Data!N213-Data!M213))/5</f>
        <v>-1.9857142857142861E-2</v>
      </c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</row>
    <row r="107" spans="1:118" ht="12" customHeight="1" x14ac:dyDescent="0.2">
      <c r="A107" s="27">
        <v>43978</v>
      </c>
      <c r="B107" s="1" t="s">
        <v>504</v>
      </c>
      <c r="C107" s="1" t="s">
        <v>36</v>
      </c>
      <c r="D107" s="23">
        <v>2010</v>
      </c>
      <c r="E107" s="38">
        <v>1</v>
      </c>
      <c r="F107" s="23">
        <v>8</v>
      </c>
      <c r="G107" s="23">
        <v>8</v>
      </c>
      <c r="H107" s="23" t="s">
        <v>25</v>
      </c>
      <c r="I107" s="23" t="s">
        <v>197</v>
      </c>
      <c r="J107" s="23" t="s">
        <v>397</v>
      </c>
      <c r="K107" s="23">
        <f t="shared" si="8"/>
        <v>42</v>
      </c>
      <c r="L107" s="23">
        <f t="shared" si="9"/>
        <v>7</v>
      </c>
      <c r="M107" s="23">
        <v>0</v>
      </c>
      <c r="N107" s="24">
        <v>3</v>
      </c>
      <c r="O107" s="23">
        <v>0</v>
      </c>
      <c r="P107" s="23"/>
      <c r="Q107" s="23" t="s">
        <v>106</v>
      </c>
      <c r="R107" s="23">
        <f t="shared" si="10"/>
        <v>1</v>
      </c>
      <c r="S107" s="23" t="s">
        <v>31</v>
      </c>
      <c r="T107" s="22" t="s">
        <v>342</v>
      </c>
      <c r="U107" s="23">
        <f t="shared" si="11"/>
        <v>1</v>
      </c>
      <c r="V107" s="22">
        <v>100</v>
      </c>
      <c r="W107" s="23">
        <f t="shared" si="12"/>
        <v>800</v>
      </c>
      <c r="X107" s="23">
        <v>5</v>
      </c>
      <c r="Y107" s="38">
        <f>Data!I214</f>
        <v>1800</v>
      </c>
      <c r="Z107" s="23" t="s">
        <v>82</v>
      </c>
      <c r="AA107" s="23">
        <f>60*60*24*7*4</f>
        <v>2419200</v>
      </c>
      <c r="AB107" s="23" t="str">
        <f t="shared" si="13"/>
        <v>4</v>
      </c>
      <c r="AC107" s="19">
        <f>AVERAGE(Data!I214:BN214)</f>
        <v>864360</v>
      </c>
      <c r="AD107" s="23" t="str">
        <f t="shared" si="14"/>
        <v>4</v>
      </c>
      <c r="AE107" s="38">
        <f t="shared" si="15"/>
        <v>2417400</v>
      </c>
      <c r="AF107" s="41">
        <f>Data!I215</f>
        <v>0.69290777276523996</v>
      </c>
      <c r="AG107" s="19">
        <f>((Data!J215-Data!I215)+(Data!K215-Data!J215)+(Data!L215-Data!K215)+(Data!M215-Data!L215))/4</f>
        <v>-0.14579812441953977</v>
      </c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</row>
    <row r="108" spans="1:118" ht="12" customHeight="1" x14ac:dyDescent="0.2">
      <c r="A108" s="27">
        <v>43978</v>
      </c>
      <c r="B108" s="1" t="s">
        <v>504</v>
      </c>
      <c r="C108" s="1" t="s">
        <v>36</v>
      </c>
      <c r="D108" s="23">
        <v>2010</v>
      </c>
      <c r="E108" s="38">
        <v>1</v>
      </c>
      <c r="F108" s="23">
        <v>8</v>
      </c>
      <c r="G108" s="23">
        <v>8</v>
      </c>
      <c r="H108" s="23" t="s">
        <v>26</v>
      </c>
      <c r="I108" s="23" t="s">
        <v>197</v>
      </c>
      <c r="J108" s="23" t="s">
        <v>397</v>
      </c>
      <c r="K108" s="23">
        <f t="shared" si="8"/>
        <v>42</v>
      </c>
      <c r="L108" s="23">
        <f t="shared" si="9"/>
        <v>7</v>
      </c>
      <c r="M108" s="23">
        <v>0</v>
      </c>
      <c r="N108" s="24">
        <v>3</v>
      </c>
      <c r="O108" s="23">
        <v>0</v>
      </c>
      <c r="P108" s="23"/>
      <c r="Q108" s="23" t="s">
        <v>111</v>
      </c>
      <c r="R108" s="23">
        <f t="shared" si="10"/>
        <v>4</v>
      </c>
      <c r="S108" s="23" t="s">
        <v>11</v>
      </c>
      <c r="T108" s="22" t="s">
        <v>342</v>
      </c>
      <c r="U108" s="23">
        <f t="shared" si="11"/>
        <v>1</v>
      </c>
      <c r="V108" s="22">
        <v>60</v>
      </c>
      <c r="W108" s="23">
        <f t="shared" si="12"/>
        <v>480</v>
      </c>
      <c r="X108" s="23">
        <v>5</v>
      </c>
      <c r="Y108" s="38">
        <f>Data!I216</f>
        <v>1800</v>
      </c>
      <c r="Z108" s="23" t="s">
        <v>82</v>
      </c>
      <c r="AA108" s="23">
        <f>60*60*24*7*4</f>
        <v>2419200</v>
      </c>
      <c r="AB108" s="23" t="str">
        <f t="shared" si="13"/>
        <v>4</v>
      </c>
      <c r="AC108" s="19">
        <f>AVERAGE(Data!I216:BN216)</f>
        <v>864360</v>
      </c>
      <c r="AD108" s="23" t="str">
        <f t="shared" si="14"/>
        <v>4</v>
      </c>
      <c r="AE108" s="38">
        <f t="shared" si="15"/>
        <v>2417400</v>
      </c>
      <c r="AF108" s="41">
        <f>Data!I217</f>
        <v>1</v>
      </c>
      <c r="AG108" s="19">
        <f>((Data!J217-Data!I217)+(Data!K217-Data!J217)+(Data!L217-Data!K217)+(Data!M217-Data!L217))/4</f>
        <v>-9.6049783549783746E-2</v>
      </c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</row>
    <row r="109" spans="1:118" ht="12" customHeight="1" x14ac:dyDescent="0.2">
      <c r="A109" s="27">
        <v>43978</v>
      </c>
      <c r="B109" s="1" t="s">
        <v>504</v>
      </c>
      <c r="C109" s="1" t="s">
        <v>36</v>
      </c>
      <c r="D109" s="23">
        <v>2010</v>
      </c>
      <c r="E109" s="38">
        <v>2</v>
      </c>
      <c r="F109" s="23">
        <v>6</v>
      </c>
      <c r="G109" s="23">
        <v>6</v>
      </c>
      <c r="H109" s="23" t="s">
        <v>13</v>
      </c>
      <c r="I109" s="23" t="s">
        <v>197</v>
      </c>
      <c r="J109" s="23" t="s">
        <v>397</v>
      </c>
      <c r="K109" s="23">
        <f t="shared" si="8"/>
        <v>42</v>
      </c>
      <c r="L109" s="23">
        <f t="shared" si="9"/>
        <v>7</v>
      </c>
      <c r="M109" s="23">
        <v>0</v>
      </c>
      <c r="N109" s="24">
        <v>3</v>
      </c>
      <c r="O109" s="23">
        <v>0</v>
      </c>
      <c r="P109" s="23"/>
      <c r="Q109" s="23" t="s">
        <v>106</v>
      </c>
      <c r="R109" s="23">
        <f t="shared" si="10"/>
        <v>1</v>
      </c>
      <c r="S109" s="23" t="s">
        <v>31</v>
      </c>
      <c r="T109" s="22" t="s">
        <v>342</v>
      </c>
      <c r="U109" s="23">
        <f t="shared" si="11"/>
        <v>1</v>
      </c>
      <c r="V109" s="22">
        <v>100</v>
      </c>
      <c r="W109" s="23">
        <f t="shared" si="12"/>
        <v>600</v>
      </c>
      <c r="X109" s="23">
        <v>5</v>
      </c>
      <c r="Y109" s="38">
        <f>Data!I218</f>
        <v>30</v>
      </c>
      <c r="Z109" s="23" t="s">
        <v>82</v>
      </c>
      <c r="AA109" s="23">
        <f>60*60*24*7*4</f>
        <v>2419200</v>
      </c>
      <c r="AB109" s="23" t="str">
        <f t="shared" si="13"/>
        <v>4</v>
      </c>
      <c r="AC109" s="19">
        <f>AVERAGE(Data!I218:BN218)</f>
        <v>622446</v>
      </c>
      <c r="AD109" s="23" t="str">
        <f t="shared" si="14"/>
        <v>3</v>
      </c>
      <c r="AE109" s="38">
        <f t="shared" si="15"/>
        <v>2419170</v>
      </c>
      <c r="AF109" s="41">
        <f>Data!I219</f>
        <v>0.86427919708029</v>
      </c>
      <c r="AG109" s="19">
        <f>((Data!J219-Data!I219)+(Data!K219-Data!J219)+(Data!L219-Data!K219)+(Data!M219-Data!L219))/4</f>
        <v>-0.15787522810218918</v>
      </c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</row>
    <row r="110" spans="1:118" ht="12" customHeight="1" x14ac:dyDescent="0.2">
      <c r="A110" s="27">
        <v>43509</v>
      </c>
      <c r="B110" s="32" t="s">
        <v>153</v>
      </c>
      <c r="C110" s="32" t="s">
        <v>56</v>
      </c>
      <c r="D110" s="31">
        <v>1924</v>
      </c>
      <c r="E110" s="44">
        <v>1</v>
      </c>
      <c r="F110" s="31">
        <v>2</v>
      </c>
      <c r="G110" s="31">
        <v>2</v>
      </c>
      <c r="H110" s="31" t="s">
        <v>20</v>
      </c>
      <c r="I110" s="31" t="s">
        <v>373</v>
      </c>
      <c r="J110" s="31" t="s">
        <v>174</v>
      </c>
      <c r="K110" s="31">
        <f t="shared" ref="K110:K173" si="18">IF(J110="syllables",1,IF(J110="trigrams",2,IF(J110="strings",3,IF(J110="visual array",4,IF(J110="characters",5,IF(J110="letters",6,IF(J110="free forms",7,IF(J110="odors",8,IF(J110="words",9,IF(J110="pictures",10,IF(J110="object pictures",11,IF(J110="faces",12,IF(J110="names",13,IF(J110="idioms",14,IF(J110="grades",15,IF(J110="syllable-digit pairs",16,IF(J110="trigram-word pairs",17,IF(J110="word-digit pairs",18,IF(J110="English-Swahili pairs",19,IF(J110="spatial position",20,IF(J110="word pairs",21,IF(J110="word triads",22,IF(J110="generated words",23,IF(J110="word definition pairs",24,IF(J110="math problems",25,IF(J110="famous faces",26,IF(J110="famous names",27,IF(J110="famous voices",28,IF(J110="television programs",29,IF(J110="race horses",30,IF(J110="new vocabulary",31,IF(J110="sentences",32,IF(J110="concepts",33,IF(J110="ad slides",34,IF(J110="scenes",35,IF(J110="famous scenes",36,IF(J110="poems",37,IF(J110="walk",38,IF(J110="faces and events",39,IF(J110="events and names",40,IF(J110="flashbulb",41,IF(J110="stories",42,IF(J110="course material",43,IF(J110="autobiographical",44,IF(J110="novels",45,IF(J110="public events",46,"99"))))))))))))))))))))))))))))))))))))))))))))))</f>
        <v>1</v>
      </c>
      <c r="L110" s="31">
        <f t="shared" ref="L110:L143" si="19">IF(J110="syllables",1,IF(J110="trigrams",1,IF(J110="strings",1,IF(J110="visual array",1,IF(J110="characters",1,IF(J110="letters",1,IF(J110="free forms",1,IF(J110="odors",2,IF(J110="words",2,IF(J110="pictures",2,IF(J110="object pictures",2,IF(J110="faces",2,IF(J110="names",2,IF(J110="idioms","2",IF(J110="grades",2,IF(J110="syllable-digit pairs",3,IF(J110="trigram-word pairs",3,IF(J110="word-digit pairs",3,IF(J110="English-Swahili pairs",3,IF(J110="spatial position",3,IF(J110="word pairs",4,IF(J110="word triads",4,IF(J110="generated words",4,IF(J110="word definition pairs",4,IF(J110="math problems",4,IF(J110="famous faces",4,IF(J110="famous names",4,IF(J110="famous voices",4,IF(J110="television programs",4,IF(J110="race horses",4,IF(J110="new vocabulary",4,IF(J110="sentences",5,IF(J110="concepts",5,IF(J110="ad slides",5,IF(J110="scenes",5,IF(J110="famous scenes",5,IF(J110="poems",6,IF(J110="walk",6,IF(J110="faces and events",6,IF(J110="events and names",6,IF(J110="flashbulb",7,IF(J110="stories",7,IF(J110="course material",7,IF(J110="autobiographical",7,IF(J110="novels",7,IF(J110="public events",7,"99"))))))))))))))))))))))))))))))))))))))))))))))</f>
        <v>1</v>
      </c>
      <c r="M110" s="31">
        <v>1</v>
      </c>
      <c r="N110" s="31">
        <v>2</v>
      </c>
      <c r="O110" s="31">
        <v>0</v>
      </c>
      <c r="P110" s="31"/>
      <c r="Q110" s="31" t="s">
        <v>106</v>
      </c>
      <c r="R110" s="31">
        <f t="shared" ref="R110:R173" si="20">IF(Q110="Free Recall",1,IF(Q110="Cued Recall",2,IF(Q110="Recognition",3,IF(Q110="Multiple Choice",4,IF(Q110="Savings",5,IF(Q110="Stem Completion",6,IF(Q110="Fragment Completion",7,IF(Q110="anagram solution",8,IF(Q110="Matching",9,IF(Q110="Problem Solving",10,"99"))))))))))</f>
        <v>1</v>
      </c>
      <c r="S110" s="31" t="s">
        <v>31</v>
      </c>
      <c r="T110" s="46" t="s">
        <v>342</v>
      </c>
      <c r="U110" s="31">
        <f t="shared" ref="U110:U173" si="21">IF(T110="within",1,0)</f>
        <v>1</v>
      </c>
      <c r="V110" s="46">
        <v>50</v>
      </c>
      <c r="W110" s="31">
        <f t="shared" ref="W110:W173" si="22">F110*V110</f>
        <v>100</v>
      </c>
      <c r="X110" s="31">
        <v>5</v>
      </c>
      <c r="Y110" s="44">
        <f>Data!I220</f>
        <v>30</v>
      </c>
      <c r="Z110" s="31" t="s">
        <v>57</v>
      </c>
      <c r="AA110" s="31">
        <v>28800</v>
      </c>
      <c r="AB110" s="31" t="str">
        <f t="shared" ref="AB110:AB173" si="23">IF(AA110&lt;60,"1",IF(AA110&lt;=43200,"2",IF(AA110&lt;=777600,"3","4")))</f>
        <v>2</v>
      </c>
      <c r="AC110" s="34">
        <f>AVERAGE(Data!I220:BN220)</f>
        <v>10806</v>
      </c>
      <c r="AD110" s="31" t="str">
        <f t="shared" ref="AD110:AD173" si="24">IF(AC110&lt;60,"1",IF(AC110&lt;=43200,"2",IF(AC110&lt;=777600,"3","4")))</f>
        <v>2</v>
      </c>
      <c r="AE110" s="44">
        <f t="shared" ref="AE110:AE173" si="25">AA110-Y110</f>
        <v>28770</v>
      </c>
      <c r="AF110" s="45">
        <f>Data!I221</f>
        <v>1</v>
      </c>
      <c r="AG110" s="34">
        <f>((Data!J221-Data!I221)+(Data!K221-Data!J221)+(Data!L221-Data!K221)+(Data!M221-Data!L221))/4</f>
        <v>-0.10875000000000001</v>
      </c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</row>
    <row r="111" spans="1:118" ht="12" customHeight="1" x14ac:dyDescent="0.2">
      <c r="A111" s="27">
        <v>43509</v>
      </c>
      <c r="B111" s="32" t="s">
        <v>153</v>
      </c>
      <c r="C111" s="32" t="s">
        <v>56</v>
      </c>
      <c r="D111" s="31">
        <v>1924</v>
      </c>
      <c r="E111" s="44">
        <v>1</v>
      </c>
      <c r="F111" s="31">
        <v>2</v>
      </c>
      <c r="G111" s="31">
        <v>2</v>
      </c>
      <c r="H111" s="31" t="s">
        <v>20</v>
      </c>
      <c r="I111" s="31" t="s">
        <v>374</v>
      </c>
      <c r="J111" s="31" t="s">
        <v>174</v>
      </c>
      <c r="K111" s="31">
        <f t="shared" si="18"/>
        <v>1</v>
      </c>
      <c r="L111" s="31">
        <f t="shared" si="19"/>
        <v>1</v>
      </c>
      <c r="M111" s="31">
        <v>1</v>
      </c>
      <c r="N111" s="31">
        <v>2</v>
      </c>
      <c r="O111" s="31">
        <v>0</v>
      </c>
      <c r="P111" s="31"/>
      <c r="Q111" s="31" t="s">
        <v>106</v>
      </c>
      <c r="R111" s="31">
        <f t="shared" si="20"/>
        <v>1</v>
      </c>
      <c r="S111" s="31" t="s">
        <v>31</v>
      </c>
      <c r="T111" s="46" t="s">
        <v>342</v>
      </c>
      <c r="U111" s="31">
        <f t="shared" si="21"/>
        <v>1</v>
      </c>
      <c r="V111" s="46">
        <v>50</v>
      </c>
      <c r="W111" s="31">
        <f t="shared" si="22"/>
        <v>100</v>
      </c>
      <c r="X111" s="31">
        <v>5</v>
      </c>
      <c r="Y111" s="44">
        <f>Data!I222</f>
        <v>30</v>
      </c>
      <c r="Z111" s="31" t="s">
        <v>57</v>
      </c>
      <c r="AA111" s="31">
        <v>28800</v>
      </c>
      <c r="AB111" s="31" t="str">
        <f t="shared" si="23"/>
        <v>2</v>
      </c>
      <c r="AC111" s="34">
        <f>AVERAGE(Data!I222:BN222)</f>
        <v>10806</v>
      </c>
      <c r="AD111" s="31" t="str">
        <f t="shared" si="24"/>
        <v>2</v>
      </c>
      <c r="AE111" s="44">
        <f t="shared" si="25"/>
        <v>28770</v>
      </c>
      <c r="AF111" s="45">
        <f>Data!I223</f>
        <v>1</v>
      </c>
      <c r="AG111" s="34">
        <f>((Data!J223-Data!I223)+(Data!K223-Data!J223)+(Data!L223-Data!K223)+(Data!M223-Data!L223))/4</f>
        <v>-0.22749999999999998</v>
      </c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</row>
    <row r="112" spans="1:118" ht="12" customHeight="1" x14ac:dyDescent="0.25">
      <c r="A112" s="27">
        <v>43509</v>
      </c>
      <c r="B112" s="48" t="s">
        <v>171</v>
      </c>
      <c r="C112" s="48" t="s">
        <v>170</v>
      </c>
      <c r="D112" s="46">
        <v>1923</v>
      </c>
      <c r="E112" s="56" t="s">
        <v>421</v>
      </c>
      <c r="F112" s="46">
        <v>69</v>
      </c>
      <c r="G112" s="46">
        <v>69</v>
      </c>
      <c r="H112" s="58" t="s">
        <v>168</v>
      </c>
      <c r="I112" s="46"/>
      <c r="J112" s="46" t="s">
        <v>343</v>
      </c>
      <c r="K112" s="31">
        <f t="shared" si="18"/>
        <v>43</v>
      </c>
      <c r="L112" s="31">
        <f t="shared" si="19"/>
        <v>7</v>
      </c>
      <c r="M112" s="46">
        <v>0</v>
      </c>
      <c r="N112" s="46">
        <v>2</v>
      </c>
      <c r="O112" s="46">
        <v>0</v>
      </c>
      <c r="P112" s="46"/>
      <c r="Q112" s="46" t="s">
        <v>45</v>
      </c>
      <c r="R112" s="31">
        <f t="shared" si="20"/>
        <v>2</v>
      </c>
      <c r="S112" s="46" t="s">
        <v>31</v>
      </c>
      <c r="T112" s="46" t="s">
        <v>342</v>
      </c>
      <c r="U112" s="31">
        <f t="shared" si="21"/>
        <v>1</v>
      </c>
      <c r="V112" s="46">
        <v>15</v>
      </c>
      <c r="W112" s="31">
        <f t="shared" si="22"/>
        <v>1035</v>
      </c>
      <c r="X112" s="46">
        <v>5</v>
      </c>
      <c r="Y112" s="44">
        <f>Data!I224</f>
        <v>600</v>
      </c>
      <c r="Z112" s="46" t="s">
        <v>169</v>
      </c>
      <c r="AA112" s="46">
        <f>8*7*24*3600</f>
        <v>4838400</v>
      </c>
      <c r="AB112" s="31" t="str">
        <f t="shared" si="23"/>
        <v>4</v>
      </c>
      <c r="AC112" s="34">
        <f>AVERAGE(Data!I224:BN224)</f>
        <v>1391160</v>
      </c>
      <c r="AD112" s="31" t="str">
        <f t="shared" si="24"/>
        <v>4</v>
      </c>
      <c r="AE112" s="44">
        <f t="shared" si="25"/>
        <v>4837800</v>
      </c>
      <c r="AF112" s="45">
        <f>Data!I225</f>
        <v>0.62</v>
      </c>
      <c r="AG112" s="34">
        <f>((Data!J225-Data!I225)+(Data!K225-Data!J225)+(Data!L225-Data!K225)+(Data!M225-Data!L225))/4</f>
        <v>-9.4750000000000001E-2</v>
      </c>
      <c r="DN112" s="3"/>
    </row>
    <row r="113" spans="1:118" s="3" customFormat="1" ht="12" customHeight="1" x14ac:dyDescent="0.2">
      <c r="A113" s="27">
        <v>43896</v>
      </c>
      <c r="B113" s="32" t="s">
        <v>212</v>
      </c>
      <c r="C113" s="32" t="s">
        <v>36</v>
      </c>
      <c r="D113" s="31">
        <v>1986</v>
      </c>
      <c r="E113" s="44">
        <v>1</v>
      </c>
      <c r="F113" s="31">
        <v>5</v>
      </c>
      <c r="G113" s="31">
        <v>5</v>
      </c>
      <c r="H113" s="31" t="s">
        <v>24</v>
      </c>
      <c r="I113" s="31" t="s">
        <v>197</v>
      </c>
      <c r="J113" s="31" t="s">
        <v>206</v>
      </c>
      <c r="K113" s="31">
        <f t="shared" si="18"/>
        <v>46</v>
      </c>
      <c r="L113" s="31">
        <f t="shared" si="19"/>
        <v>7</v>
      </c>
      <c r="M113" s="31">
        <v>1</v>
      </c>
      <c r="N113" s="46">
        <v>4</v>
      </c>
      <c r="O113" s="31">
        <v>0</v>
      </c>
      <c r="P113" s="31"/>
      <c r="Q113" s="31" t="s">
        <v>106</v>
      </c>
      <c r="R113" s="31">
        <f t="shared" si="20"/>
        <v>1</v>
      </c>
      <c r="S113" s="31" t="s">
        <v>31</v>
      </c>
      <c r="T113" s="46" t="s">
        <v>342</v>
      </c>
      <c r="U113" s="31">
        <f t="shared" si="21"/>
        <v>1</v>
      </c>
      <c r="V113" s="46">
        <v>80</v>
      </c>
      <c r="W113" s="31">
        <f t="shared" si="22"/>
        <v>400</v>
      </c>
      <c r="X113" s="31">
        <v>6</v>
      </c>
      <c r="Y113" s="44">
        <f>Data!I226</f>
        <v>315360000</v>
      </c>
      <c r="Z113" s="46" t="s">
        <v>254</v>
      </c>
      <c r="AA113" s="31">
        <f>60*365*24*60*60</f>
        <v>1892160000</v>
      </c>
      <c r="AB113" s="31" t="str">
        <f t="shared" si="23"/>
        <v>4</v>
      </c>
      <c r="AC113" s="34">
        <f>AVERAGE(Data!I226:BN226)</f>
        <v>2945920000</v>
      </c>
      <c r="AD113" s="31" t="str">
        <f t="shared" si="24"/>
        <v>4</v>
      </c>
      <c r="AE113" s="44">
        <f t="shared" si="25"/>
        <v>1576800000</v>
      </c>
      <c r="AF113" s="45">
        <f>Data!I227</f>
        <v>0.64102564102564097</v>
      </c>
      <c r="AG113" s="34">
        <f>((Data!J227-Data!I227)+(Data!K227-Data!J227)+(Data!L227-Data!K227)+(Data!M227-Data!L227)+(Data!N227-Data!M227))/5</f>
        <v>-0.11619311619311619</v>
      </c>
    </row>
    <row r="114" spans="1:118" s="3" customFormat="1" ht="12" customHeight="1" x14ac:dyDescent="0.2">
      <c r="A114" s="27">
        <v>43896</v>
      </c>
      <c r="B114" s="32" t="s">
        <v>212</v>
      </c>
      <c r="C114" s="32" t="s">
        <v>36</v>
      </c>
      <c r="D114" s="31">
        <v>1986</v>
      </c>
      <c r="E114" s="44">
        <v>1</v>
      </c>
      <c r="F114" s="31">
        <v>5</v>
      </c>
      <c r="G114" s="31">
        <v>5</v>
      </c>
      <c r="H114" s="31" t="s">
        <v>24</v>
      </c>
      <c r="I114" s="31" t="s">
        <v>197</v>
      </c>
      <c r="J114" s="31" t="s">
        <v>206</v>
      </c>
      <c r="K114" s="31">
        <f t="shared" si="18"/>
        <v>46</v>
      </c>
      <c r="L114" s="31">
        <f t="shared" si="19"/>
        <v>7</v>
      </c>
      <c r="M114" s="31">
        <v>1</v>
      </c>
      <c r="N114" s="46">
        <v>4</v>
      </c>
      <c r="O114" s="31">
        <v>0</v>
      </c>
      <c r="P114" s="31"/>
      <c r="Q114" s="31" t="s">
        <v>111</v>
      </c>
      <c r="R114" s="31">
        <f t="shared" si="20"/>
        <v>4</v>
      </c>
      <c r="S114" s="31" t="s">
        <v>11</v>
      </c>
      <c r="T114" s="46" t="s">
        <v>342</v>
      </c>
      <c r="U114" s="31">
        <f t="shared" si="21"/>
        <v>1</v>
      </c>
      <c r="V114" s="46">
        <v>80</v>
      </c>
      <c r="W114" s="31">
        <f t="shared" si="22"/>
        <v>400</v>
      </c>
      <c r="X114" s="31">
        <v>6</v>
      </c>
      <c r="Y114" s="44">
        <f>Data!I228</f>
        <v>315360000</v>
      </c>
      <c r="Z114" s="46" t="s">
        <v>254</v>
      </c>
      <c r="AA114" s="31">
        <f>60*365*24*60*60</f>
        <v>1892160000</v>
      </c>
      <c r="AB114" s="31" t="str">
        <f t="shared" si="23"/>
        <v>4</v>
      </c>
      <c r="AC114" s="34">
        <f>AVERAGE(Data!I228:BN228)</f>
        <v>2945920000</v>
      </c>
      <c r="AD114" s="31" t="str">
        <f t="shared" si="24"/>
        <v>4</v>
      </c>
      <c r="AE114" s="44">
        <f t="shared" si="25"/>
        <v>1576800000</v>
      </c>
      <c r="AF114" s="45">
        <f>Data!I229</f>
        <v>0.83333333333333337</v>
      </c>
      <c r="AG114" s="34">
        <f>((Data!J229-Data!I229)+(Data!K229-Data!J229)+(Data!L229-Data!K229)+(Data!M229-Data!L229)+(Data!N229-Data!M229))/5</f>
        <v>-0.12068965517241378</v>
      </c>
    </row>
    <row r="115" spans="1:118" s="3" customFormat="1" ht="12" customHeight="1" x14ac:dyDescent="0.2">
      <c r="A115" s="27">
        <v>43896</v>
      </c>
      <c r="B115" s="32" t="s">
        <v>212</v>
      </c>
      <c r="C115" s="32" t="s">
        <v>36</v>
      </c>
      <c r="D115" s="31">
        <v>1986</v>
      </c>
      <c r="E115" s="44">
        <v>1</v>
      </c>
      <c r="F115" s="31">
        <v>5</v>
      </c>
      <c r="G115" s="31">
        <v>5</v>
      </c>
      <c r="H115" s="31" t="s">
        <v>20</v>
      </c>
      <c r="I115" s="31" t="s">
        <v>197</v>
      </c>
      <c r="J115" s="31" t="s">
        <v>213</v>
      </c>
      <c r="K115" s="31">
        <f t="shared" si="18"/>
        <v>28</v>
      </c>
      <c r="L115" s="31">
        <f t="shared" si="19"/>
        <v>4</v>
      </c>
      <c r="M115" s="31">
        <v>1</v>
      </c>
      <c r="N115" s="46">
        <v>2</v>
      </c>
      <c r="O115" s="31">
        <v>0</v>
      </c>
      <c r="P115" s="31"/>
      <c r="Q115" s="31" t="s">
        <v>106</v>
      </c>
      <c r="R115" s="31">
        <f t="shared" si="20"/>
        <v>1</v>
      </c>
      <c r="S115" s="31" t="s">
        <v>31</v>
      </c>
      <c r="T115" s="46" t="s">
        <v>342</v>
      </c>
      <c r="U115" s="31">
        <f t="shared" si="21"/>
        <v>1</v>
      </c>
      <c r="V115" s="46">
        <v>80</v>
      </c>
      <c r="W115" s="31">
        <f t="shared" si="22"/>
        <v>400</v>
      </c>
      <c r="X115" s="31">
        <v>5</v>
      </c>
      <c r="Y115" s="44">
        <f>Data!I230</f>
        <v>315360000</v>
      </c>
      <c r="Z115" s="46" t="s">
        <v>130</v>
      </c>
      <c r="AA115" s="31">
        <f>50*365*24*60*60</f>
        <v>1576800000</v>
      </c>
      <c r="AB115" s="31" t="str">
        <f t="shared" si="23"/>
        <v>4</v>
      </c>
      <c r="AC115" s="34">
        <f>AVERAGE(Data!I230:BN230)</f>
        <v>3156672000</v>
      </c>
      <c r="AD115" s="31" t="str">
        <f t="shared" si="24"/>
        <v>4</v>
      </c>
      <c r="AE115" s="44">
        <f t="shared" si="25"/>
        <v>1261440000</v>
      </c>
      <c r="AF115" s="45">
        <f>Data!I231</f>
        <v>0.64</v>
      </c>
      <c r="AG115" s="34">
        <f>((Data!J231-Data!I231)+(Data!K231-Data!J231)+(Data!L231-Data!K231)+(Data!M231-Data!L231))/4</f>
        <v>-8.7500000000000008E-2</v>
      </c>
    </row>
    <row r="116" spans="1:118" ht="12" customHeight="1" x14ac:dyDescent="0.2">
      <c r="A116" s="27">
        <v>43896</v>
      </c>
      <c r="B116" s="32" t="s">
        <v>212</v>
      </c>
      <c r="C116" s="32" t="s">
        <v>36</v>
      </c>
      <c r="D116" s="31">
        <v>1986</v>
      </c>
      <c r="E116" s="44">
        <v>1</v>
      </c>
      <c r="F116" s="31">
        <v>5</v>
      </c>
      <c r="G116" s="31">
        <v>5</v>
      </c>
      <c r="H116" s="31" t="s">
        <v>20</v>
      </c>
      <c r="I116" s="31" t="s">
        <v>197</v>
      </c>
      <c r="J116" s="31" t="s">
        <v>213</v>
      </c>
      <c r="K116" s="31">
        <f t="shared" si="18"/>
        <v>28</v>
      </c>
      <c r="L116" s="31">
        <f t="shared" si="19"/>
        <v>4</v>
      </c>
      <c r="M116" s="31">
        <v>1</v>
      </c>
      <c r="N116" s="46">
        <v>2</v>
      </c>
      <c r="O116" s="31">
        <v>0</v>
      </c>
      <c r="P116" s="31"/>
      <c r="Q116" s="31" t="s">
        <v>111</v>
      </c>
      <c r="R116" s="31">
        <f t="shared" si="20"/>
        <v>4</v>
      </c>
      <c r="S116" s="31" t="s">
        <v>11</v>
      </c>
      <c r="T116" s="46" t="s">
        <v>342</v>
      </c>
      <c r="U116" s="31">
        <f t="shared" si="21"/>
        <v>1</v>
      </c>
      <c r="V116" s="46">
        <v>80</v>
      </c>
      <c r="W116" s="31">
        <f t="shared" si="22"/>
        <v>400</v>
      </c>
      <c r="X116" s="31">
        <v>5</v>
      </c>
      <c r="Y116" s="44">
        <f>Data!I232</f>
        <v>315360000</v>
      </c>
      <c r="Z116" s="46" t="s">
        <v>130</v>
      </c>
      <c r="AA116" s="31">
        <f>50*365*24*60*60</f>
        <v>1576800000</v>
      </c>
      <c r="AB116" s="31" t="str">
        <f t="shared" si="23"/>
        <v>4</v>
      </c>
      <c r="AC116" s="34">
        <f>AVERAGE(Data!I232:BN232)</f>
        <v>3156672000</v>
      </c>
      <c r="AD116" s="31" t="str">
        <f t="shared" si="24"/>
        <v>4</v>
      </c>
      <c r="AE116" s="44">
        <f t="shared" si="25"/>
        <v>1261440000</v>
      </c>
      <c r="AF116" s="45">
        <f>Data!I233</f>
        <v>0.92105263157894735</v>
      </c>
      <c r="AG116" s="34">
        <f>((Data!J233-Data!I233)+(Data!K233-Data!J233)+(Data!L233-Data!K233)+(Data!M233-Data!L233))/4</f>
        <v>-0.11040014419610671</v>
      </c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</row>
    <row r="117" spans="1:118" ht="12" customHeight="1" x14ac:dyDescent="0.2">
      <c r="A117" s="27">
        <v>43978</v>
      </c>
      <c r="B117" s="1" t="s">
        <v>505</v>
      </c>
      <c r="C117" s="1" t="s">
        <v>246</v>
      </c>
      <c r="D117" s="23">
        <v>1997</v>
      </c>
      <c r="E117" s="38">
        <v>1</v>
      </c>
      <c r="F117" s="23">
        <v>4</v>
      </c>
      <c r="G117" s="23">
        <v>4</v>
      </c>
      <c r="H117" s="23" t="s">
        <v>13</v>
      </c>
      <c r="I117" s="23" t="s">
        <v>197</v>
      </c>
      <c r="J117" s="23" t="s">
        <v>206</v>
      </c>
      <c r="K117" s="23">
        <f t="shared" si="18"/>
        <v>46</v>
      </c>
      <c r="L117" s="23">
        <f t="shared" si="19"/>
        <v>7</v>
      </c>
      <c r="M117" s="23">
        <v>1</v>
      </c>
      <c r="N117" s="22">
        <v>4</v>
      </c>
      <c r="O117" s="23">
        <v>0</v>
      </c>
      <c r="P117" s="23"/>
      <c r="Q117" s="23" t="s">
        <v>111</v>
      </c>
      <c r="R117" s="23">
        <f t="shared" si="20"/>
        <v>4</v>
      </c>
      <c r="S117" s="23" t="s">
        <v>11</v>
      </c>
      <c r="T117" s="22" t="s">
        <v>342</v>
      </c>
      <c r="U117" s="23">
        <f t="shared" si="21"/>
        <v>1</v>
      </c>
      <c r="V117" s="22">
        <v>94</v>
      </c>
      <c r="W117" s="23">
        <f t="shared" si="22"/>
        <v>376</v>
      </c>
      <c r="X117" s="23">
        <v>5</v>
      </c>
      <c r="Y117" s="38">
        <f>Data!I234</f>
        <v>114480000</v>
      </c>
      <c r="Z117" s="22" t="s">
        <v>229</v>
      </c>
      <c r="AA117" s="23">
        <f>60*60*24*365*45</f>
        <v>1419120000</v>
      </c>
      <c r="AB117" s="23" t="str">
        <f t="shared" si="23"/>
        <v>4</v>
      </c>
      <c r="AC117" s="19">
        <f>AVERAGE(Data!I234:BN234)</f>
        <v>572400000</v>
      </c>
      <c r="AD117" s="23" t="str">
        <f t="shared" si="24"/>
        <v>4</v>
      </c>
      <c r="AE117" s="38">
        <f t="shared" si="25"/>
        <v>1304640000</v>
      </c>
      <c r="AF117" s="41">
        <f>Data!I235</f>
        <v>0.61</v>
      </c>
      <c r="AG117" s="19">
        <f>((Data!J235-Data!I235)+(Data!K235-Data!J235)+(Data!L235-Data!K235)+(Data!M235-Data!L235))/4</f>
        <v>-4.8931704849767499E-2</v>
      </c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</row>
    <row r="118" spans="1:118" ht="12" customHeight="1" x14ac:dyDescent="0.2">
      <c r="A118" s="27">
        <v>43896</v>
      </c>
      <c r="B118" s="1" t="s">
        <v>214</v>
      </c>
      <c r="C118" s="1" t="s">
        <v>215</v>
      </c>
      <c r="D118" s="23">
        <v>1989</v>
      </c>
      <c r="E118" s="38">
        <v>1</v>
      </c>
      <c r="F118" s="23">
        <v>5</v>
      </c>
      <c r="G118" s="23">
        <v>5</v>
      </c>
      <c r="H118" s="23" t="s">
        <v>32</v>
      </c>
      <c r="I118" s="23" t="s">
        <v>197</v>
      </c>
      <c r="J118" s="23" t="s">
        <v>244</v>
      </c>
      <c r="K118" s="23">
        <f t="shared" si="18"/>
        <v>36</v>
      </c>
      <c r="L118" s="23">
        <f t="shared" si="19"/>
        <v>5</v>
      </c>
      <c r="M118" s="23">
        <v>1</v>
      </c>
      <c r="N118" s="22">
        <v>2</v>
      </c>
      <c r="O118" s="23">
        <v>0</v>
      </c>
      <c r="P118" s="23"/>
      <c r="Q118" s="23" t="s">
        <v>106</v>
      </c>
      <c r="R118" s="23">
        <f t="shared" si="20"/>
        <v>1</v>
      </c>
      <c r="S118" s="23" t="s">
        <v>31</v>
      </c>
      <c r="T118" s="22" t="s">
        <v>342</v>
      </c>
      <c r="U118" s="23">
        <f t="shared" si="21"/>
        <v>1</v>
      </c>
      <c r="V118" s="22">
        <v>50</v>
      </c>
      <c r="W118" s="23">
        <f t="shared" si="22"/>
        <v>250</v>
      </c>
      <c r="X118" s="23">
        <v>6</v>
      </c>
      <c r="Y118" s="38">
        <f>Data!I236</f>
        <v>157680000</v>
      </c>
      <c r="Z118" s="22" t="s">
        <v>130</v>
      </c>
      <c r="AA118" s="23">
        <f>50*365*24*60*60</f>
        <v>1576800000</v>
      </c>
      <c r="AB118" s="23" t="str">
        <f t="shared" si="23"/>
        <v>4</v>
      </c>
      <c r="AC118" s="19">
        <f>AVERAGE(Data!I236:BN236)</f>
        <v>919800000</v>
      </c>
      <c r="AD118" s="23" t="str">
        <f t="shared" si="24"/>
        <v>4</v>
      </c>
      <c r="AE118" s="38">
        <f t="shared" si="25"/>
        <v>1419120000</v>
      </c>
      <c r="AF118" s="41">
        <f>Data!I237</f>
        <v>0.54838709677419362</v>
      </c>
      <c r="AG118" s="21">
        <f>((Data!J237-Data!I237)+(Data!K237-Data!J237)+(Data!L237-Data!K237)+(Data!M237-Data!L237)+(Data!N237-Data!M237))/5</f>
        <v>-4.4142614601018872E-3</v>
      </c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</row>
    <row r="119" spans="1:118" ht="12" customHeight="1" x14ac:dyDescent="0.2">
      <c r="A119" s="27">
        <v>43896</v>
      </c>
      <c r="B119" s="1" t="s">
        <v>214</v>
      </c>
      <c r="C119" s="1" t="s">
        <v>215</v>
      </c>
      <c r="D119" s="23">
        <v>1989</v>
      </c>
      <c r="E119" s="38">
        <v>1</v>
      </c>
      <c r="F119" s="23">
        <v>5</v>
      </c>
      <c r="G119" s="23">
        <v>5</v>
      </c>
      <c r="H119" s="23" t="s">
        <v>32</v>
      </c>
      <c r="I119" s="23" t="s">
        <v>197</v>
      </c>
      <c r="J119" s="23" t="s">
        <v>244</v>
      </c>
      <c r="K119" s="23">
        <f t="shared" si="18"/>
        <v>36</v>
      </c>
      <c r="L119" s="23">
        <f t="shared" si="19"/>
        <v>5</v>
      </c>
      <c r="M119" s="23">
        <v>1</v>
      </c>
      <c r="N119" s="22">
        <v>2</v>
      </c>
      <c r="O119" s="23">
        <v>0</v>
      </c>
      <c r="P119" s="23"/>
      <c r="Q119" s="23" t="s">
        <v>111</v>
      </c>
      <c r="R119" s="23">
        <f t="shared" si="20"/>
        <v>4</v>
      </c>
      <c r="S119" s="23" t="s">
        <v>11</v>
      </c>
      <c r="T119" s="22" t="s">
        <v>342</v>
      </c>
      <c r="U119" s="23">
        <f t="shared" si="21"/>
        <v>1</v>
      </c>
      <c r="V119" s="22">
        <v>50</v>
      </c>
      <c r="W119" s="23">
        <f t="shared" si="22"/>
        <v>250</v>
      </c>
      <c r="X119" s="23">
        <v>6</v>
      </c>
      <c r="Y119" s="38">
        <f>Data!I238</f>
        <v>157680000</v>
      </c>
      <c r="Z119" s="22" t="s">
        <v>130</v>
      </c>
      <c r="AA119" s="23">
        <f>50*365*24*60*60</f>
        <v>1576800000</v>
      </c>
      <c r="AB119" s="23" t="str">
        <f t="shared" si="23"/>
        <v>4</v>
      </c>
      <c r="AC119" s="19">
        <f>AVERAGE(Data!I238:BN238)</f>
        <v>919800000</v>
      </c>
      <c r="AD119" s="23" t="str">
        <f t="shared" si="24"/>
        <v>4</v>
      </c>
      <c r="AE119" s="38">
        <f t="shared" si="25"/>
        <v>1419120000</v>
      </c>
      <c r="AF119" s="41">
        <f>Data!I239</f>
        <v>0.78</v>
      </c>
      <c r="AG119" s="19">
        <f>((Data!J239-Data!I239)+(Data!K239-Data!J239)+(Data!L239-Data!K239)+(Data!M239-Data!L239)+(Data!N239-Data!M239))/5</f>
        <v>-1.9636363636363653E-2</v>
      </c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</row>
    <row r="120" spans="1:118" ht="12" customHeight="1" x14ac:dyDescent="0.2">
      <c r="A120" s="27">
        <v>43978</v>
      </c>
      <c r="B120" s="32" t="s">
        <v>506</v>
      </c>
      <c r="C120" s="32" t="s">
        <v>507</v>
      </c>
      <c r="D120" s="31">
        <v>2012</v>
      </c>
      <c r="E120" s="44">
        <v>1</v>
      </c>
      <c r="F120" s="31">
        <v>10</v>
      </c>
      <c r="G120" s="31">
        <v>10</v>
      </c>
      <c r="H120" s="31" t="s">
        <v>24</v>
      </c>
      <c r="I120" s="31" t="s">
        <v>197</v>
      </c>
      <c r="J120" s="31" t="s">
        <v>397</v>
      </c>
      <c r="K120" s="31">
        <f t="shared" si="18"/>
        <v>42</v>
      </c>
      <c r="L120" s="31">
        <f t="shared" si="19"/>
        <v>7</v>
      </c>
      <c r="M120" s="31">
        <v>1</v>
      </c>
      <c r="N120" s="43">
        <v>4</v>
      </c>
      <c r="O120" s="31">
        <v>0</v>
      </c>
      <c r="P120" s="31"/>
      <c r="Q120" s="31" t="s">
        <v>106</v>
      </c>
      <c r="R120" s="31">
        <f t="shared" si="20"/>
        <v>1</v>
      </c>
      <c r="S120" s="31" t="s">
        <v>31</v>
      </c>
      <c r="T120" s="46" t="s">
        <v>342</v>
      </c>
      <c r="U120" s="31">
        <f t="shared" si="21"/>
        <v>1</v>
      </c>
      <c r="V120" s="46">
        <v>32</v>
      </c>
      <c r="W120" s="31">
        <f t="shared" si="22"/>
        <v>320</v>
      </c>
      <c r="X120" s="31">
        <v>5</v>
      </c>
      <c r="Y120" s="44">
        <f>Data!I240</f>
        <v>30</v>
      </c>
      <c r="Z120" s="46" t="s">
        <v>167</v>
      </c>
      <c r="AA120" s="46">
        <f>60*60*24*30</f>
        <v>2592000</v>
      </c>
      <c r="AB120" s="31" t="str">
        <f t="shared" si="23"/>
        <v>4</v>
      </c>
      <c r="AC120" s="34">
        <f>AVERAGE(Data!I240:BN240)</f>
        <v>777846</v>
      </c>
      <c r="AD120" s="31" t="str">
        <f t="shared" si="24"/>
        <v>4</v>
      </c>
      <c r="AE120" s="44">
        <f t="shared" si="25"/>
        <v>2591970</v>
      </c>
      <c r="AF120" s="45">
        <f>Data!I241</f>
        <v>0.83260000000000001</v>
      </c>
      <c r="AG120" s="34">
        <f>((Data!J241-Data!I241)+(Data!K241-Data!J241)+(Data!L241-Data!K241)+(Data!M241-Data!L241))/4</f>
        <v>-2.8362500000000013E-2</v>
      </c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</row>
    <row r="121" spans="1:118" ht="12" customHeight="1" x14ac:dyDescent="0.2">
      <c r="A121" s="27">
        <v>43978</v>
      </c>
      <c r="B121" s="32" t="s">
        <v>506</v>
      </c>
      <c r="C121" s="32" t="s">
        <v>507</v>
      </c>
      <c r="D121" s="31">
        <v>2012</v>
      </c>
      <c r="E121" s="44">
        <v>1</v>
      </c>
      <c r="F121" s="31">
        <v>10</v>
      </c>
      <c r="G121" s="31">
        <v>10</v>
      </c>
      <c r="H121" s="31" t="s">
        <v>24</v>
      </c>
      <c r="I121" s="31" t="s">
        <v>197</v>
      </c>
      <c r="J121" s="31" t="s">
        <v>406</v>
      </c>
      <c r="K121" s="31">
        <f t="shared" si="18"/>
        <v>35</v>
      </c>
      <c r="L121" s="31">
        <f t="shared" si="19"/>
        <v>5</v>
      </c>
      <c r="M121" s="31">
        <v>1</v>
      </c>
      <c r="N121" s="43">
        <v>4</v>
      </c>
      <c r="O121" s="31">
        <v>0</v>
      </c>
      <c r="P121" s="31"/>
      <c r="Q121" s="31" t="s">
        <v>106</v>
      </c>
      <c r="R121" s="31">
        <f t="shared" si="20"/>
        <v>1</v>
      </c>
      <c r="S121" s="31" t="s">
        <v>31</v>
      </c>
      <c r="T121" s="46" t="s">
        <v>342</v>
      </c>
      <c r="U121" s="31">
        <f t="shared" si="21"/>
        <v>1</v>
      </c>
      <c r="V121" s="46">
        <v>32</v>
      </c>
      <c r="W121" s="31">
        <f t="shared" si="22"/>
        <v>320</v>
      </c>
      <c r="X121" s="31">
        <v>5</v>
      </c>
      <c r="Y121" s="44">
        <f>Data!I242</f>
        <v>30</v>
      </c>
      <c r="Z121" s="46" t="s">
        <v>167</v>
      </c>
      <c r="AA121" s="46">
        <f>60*60*24*30</f>
        <v>2592000</v>
      </c>
      <c r="AB121" s="31" t="str">
        <f t="shared" si="23"/>
        <v>4</v>
      </c>
      <c r="AC121" s="34">
        <f>AVERAGE(Data!I242:BN242)</f>
        <v>777846</v>
      </c>
      <c r="AD121" s="31" t="str">
        <f t="shared" si="24"/>
        <v>4</v>
      </c>
      <c r="AE121" s="44">
        <f t="shared" si="25"/>
        <v>2591970</v>
      </c>
      <c r="AF121" s="45">
        <f>Data!I243</f>
        <v>0.87809999999999999</v>
      </c>
      <c r="AG121" s="34">
        <f>((Data!J243-Data!I243)+(Data!K243-Data!J243)+(Data!L243-Data!K243)+(Data!M243-Data!L243))/4</f>
        <v>-4.9999999999999989E-2</v>
      </c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</row>
    <row r="122" spans="1:118" ht="12" customHeight="1" x14ac:dyDescent="0.2">
      <c r="A122" s="27">
        <v>43978</v>
      </c>
      <c r="B122" s="32" t="s">
        <v>506</v>
      </c>
      <c r="C122" s="32" t="s">
        <v>507</v>
      </c>
      <c r="D122" s="31">
        <v>2012</v>
      </c>
      <c r="E122" s="44">
        <v>2</v>
      </c>
      <c r="F122" s="31">
        <v>4</v>
      </c>
      <c r="G122" s="31">
        <v>4</v>
      </c>
      <c r="H122" s="31" t="s">
        <v>143</v>
      </c>
      <c r="I122" s="31" t="s">
        <v>197</v>
      </c>
      <c r="J122" s="31" t="s">
        <v>12</v>
      </c>
      <c r="K122" s="31">
        <f t="shared" si="18"/>
        <v>9</v>
      </c>
      <c r="L122" s="31">
        <f t="shared" si="19"/>
        <v>2</v>
      </c>
      <c r="M122" s="31">
        <v>1</v>
      </c>
      <c r="N122" s="43">
        <v>2</v>
      </c>
      <c r="O122" s="31">
        <v>0</v>
      </c>
      <c r="P122" s="31"/>
      <c r="Q122" s="31" t="s">
        <v>106</v>
      </c>
      <c r="R122" s="31">
        <f t="shared" si="20"/>
        <v>1</v>
      </c>
      <c r="S122" s="31" t="s">
        <v>31</v>
      </c>
      <c r="T122" s="46" t="s">
        <v>342</v>
      </c>
      <c r="U122" s="31">
        <f t="shared" si="21"/>
        <v>1</v>
      </c>
      <c r="V122" s="46">
        <v>15</v>
      </c>
      <c r="W122" s="31">
        <f t="shared" si="22"/>
        <v>60</v>
      </c>
      <c r="X122" s="31">
        <v>5</v>
      </c>
      <c r="Y122" s="44">
        <f>Data!I244</f>
        <v>30</v>
      </c>
      <c r="Z122" s="46" t="s">
        <v>167</v>
      </c>
      <c r="AA122" s="46">
        <f>60*60*24*30</f>
        <v>2592000</v>
      </c>
      <c r="AB122" s="31" t="str">
        <f t="shared" si="23"/>
        <v>4</v>
      </c>
      <c r="AC122" s="34">
        <f>AVERAGE(Data!I244:BN244)</f>
        <v>777846</v>
      </c>
      <c r="AD122" s="31" t="str">
        <f t="shared" si="24"/>
        <v>4</v>
      </c>
      <c r="AE122" s="44">
        <f t="shared" si="25"/>
        <v>2591970</v>
      </c>
      <c r="AF122" s="45">
        <f>Data!I245</f>
        <v>0.8</v>
      </c>
      <c r="AG122" s="34">
        <f>((Data!J245-Data!I245)+(Data!K245-Data!J245)+(Data!L245-Data!K245)+(Data!M245-Data!L245))/4</f>
        <v>-0.17915000000000003</v>
      </c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</row>
    <row r="123" spans="1:118" ht="12" customHeight="1" x14ac:dyDescent="0.2">
      <c r="A123" s="27">
        <v>43978</v>
      </c>
      <c r="B123" s="32" t="s">
        <v>506</v>
      </c>
      <c r="C123" s="32" t="s">
        <v>507</v>
      </c>
      <c r="D123" s="31">
        <v>2012</v>
      </c>
      <c r="E123" s="44">
        <v>2</v>
      </c>
      <c r="F123" s="31">
        <v>4</v>
      </c>
      <c r="G123" s="31">
        <v>4</v>
      </c>
      <c r="H123" s="31" t="s">
        <v>143</v>
      </c>
      <c r="I123" s="31" t="s">
        <v>197</v>
      </c>
      <c r="J123" s="31" t="s">
        <v>397</v>
      </c>
      <c r="K123" s="31">
        <f t="shared" si="18"/>
        <v>42</v>
      </c>
      <c r="L123" s="31">
        <f t="shared" si="19"/>
        <v>7</v>
      </c>
      <c r="M123" s="31">
        <v>1</v>
      </c>
      <c r="N123" s="43">
        <v>2</v>
      </c>
      <c r="O123" s="31">
        <v>0</v>
      </c>
      <c r="P123" s="31"/>
      <c r="Q123" s="31" t="s">
        <v>106</v>
      </c>
      <c r="R123" s="31">
        <f t="shared" si="20"/>
        <v>1</v>
      </c>
      <c r="S123" s="31" t="s">
        <v>31</v>
      </c>
      <c r="T123" s="46" t="s">
        <v>342</v>
      </c>
      <c r="U123" s="31">
        <f t="shared" si="21"/>
        <v>1</v>
      </c>
      <c r="V123" s="46">
        <v>32</v>
      </c>
      <c r="W123" s="31">
        <f t="shared" si="22"/>
        <v>128</v>
      </c>
      <c r="X123" s="31">
        <v>5</v>
      </c>
      <c r="Y123" s="44">
        <f>Data!I246</f>
        <v>30</v>
      </c>
      <c r="Z123" s="46" t="s">
        <v>167</v>
      </c>
      <c r="AA123" s="46">
        <f>60*60*24*30</f>
        <v>2592000</v>
      </c>
      <c r="AB123" s="31" t="str">
        <f t="shared" si="23"/>
        <v>4</v>
      </c>
      <c r="AC123" s="34">
        <f>AVERAGE(Data!I246:BN246)</f>
        <v>777846</v>
      </c>
      <c r="AD123" s="31" t="str">
        <f t="shared" si="24"/>
        <v>4</v>
      </c>
      <c r="AE123" s="44">
        <f t="shared" si="25"/>
        <v>2591970</v>
      </c>
      <c r="AF123" s="45">
        <f>Data!I247</f>
        <v>0.84870000000000001</v>
      </c>
      <c r="AG123" s="34">
        <f>((Data!J247-Data!I247)+(Data!K247-Data!J247)+(Data!L247-Data!K247)+(Data!M247-Data!L247))/4</f>
        <v>-6.8950000000000011E-2</v>
      </c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</row>
    <row r="124" spans="1:118" ht="12" customHeight="1" x14ac:dyDescent="0.2">
      <c r="A124" s="27">
        <v>43978</v>
      </c>
      <c r="B124" s="32" t="s">
        <v>506</v>
      </c>
      <c r="C124" s="32" t="s">
        <v>507</v>
      </c>
      <c r="D124" s="31">
        <v>2012</v>
      </c>
      <c r="E124" s="44">
        <v>2</v>
      </c>
      <c r="F124" s="31">
        <v>4</v>
      </c>
      <c r="G124" s="31">
        <v>4</v>
      </c>
      <c r="H124" s="31" t="s">
        <v>143</v>
      </c>
      <c r="I124" s="31" t="s">
        <v>197</v>
      </c>
      <c r="J124" s="31" t="s">
        <v>406</v>
      </c>
      <c r="K124" s="31">
        <f t="shared" si="18"/>
        <v>35</v>
      </c>
      <c r="L124" s="31">
        <f t="shared" si="19"/>
        <v>5</v>
      </c>
      <c r="M124" s="31">
        <v>1</v>
      </c>
      <c r="N124" s="43">
        <v>2</v>
      </c>
      <c r="O124" s="31">
        <v>0</v>
      </c>
      <c r="P124" s="31"/>
      <c r="Q124" s="31" t="s">
        <v>106</v>
      </c>
      <c r="R124" s="31">
        <f t="shared" si="20"/>
        <v>1</v>
      </c>
      <c r="S124" s="31" t="s">
        <v>31</v>
      </c>
      <c r="T124" s="46" t="s">
        <v>342</v>
      </c>
      <c r="U124" s="31">
        <f t="shared" si="21"/>
        <v>1</v>
      </c>
      <c r="V124" s="46">
        <v>32</v>
      </c>
      <c r="W124" s="31">
        <f t="shared" si="22"/>
        <v>128</v>
      </c>
      <c r="X124" s="31">
        <v>5</v>
      </c>
      <c r="Y124" s="44">
        <f>Data!I248</f>
        <v>30</v>
      </c>
      <c r="Z124" s="46" t="s">
        <v>167</v>
      </c>
      <c r="AA124" s="46">
        <f>60*60*24*30</f>
        <v>2592000</v>
      </c>
      <c r="AB124" s="31" t="str">
        <f t="shared" si="23"/>
        <v>4</v>
      </c>
      <c r="AC124" s="34">
        <f>AVERAGE(Data!I248:BN248)</f>
        <v>777846</v>
      </c>
      <c r="AD124" s="31" t="str">
        <f t="shared" si="24"/>
        <v>4</v>
      </c>
      <c r="AE124" s="44">
        <f t="shared" si="25"/>
        <v>2591970</v>
      </c>
      <c r="AF124" s="45">
        <f>Data!I249</f>
        <v>0.85940000000000005</v>
      </c>
      <c r="AG124" s="34">
        <f>((Data!J249-Data!I249)+(Data!K249-Data!J249)+(Data!L249-Data!K249)+(Data!M249-Data!L249))/4</f>
        <v>-0.12052500000000001</v>
      </c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</row>
    <row r="125" spans="1:118" ht="12" customHeight="1" x14ac:dyDescent="0.2">
      <c r="A125" s="27">
        <v>43509</v>
      </c>
      <c r="B125" s="1" t="s">
        <v>74</v>
      </c>
      <c r="C125" s="1" t="s">
        <v>15</v>
      </c>
      <c r="D125" s="23">
        <v>1963</v>
      </c>
      <c r="E125" s="38">
        <v>1</v>
      </c>
      <c r="F125" s="23">
        <v>48</v>
      </c>
      <c r="G125" s="23">
        <v>8</v>
      </c>
      <c r="H125" s="23" t="s">
        <v>32</v>
      </c>
      <c r="I125" s="23" t="s">
        <v>423</v>
      </c>
      <c r="J125" s="23" t="s">
        <v>61</v>
      </c>
      <c r="K125" s="23">
        <f t="shared" si="18"/>
        <v>18</v>
      </c>
      <c r="L125" s="23">
        <f t="shared" si="19"/>
        <v>3</v>
      </c>
      <c r="M125" s="23">
        <v>0</v>
      </c>
      <c r="N125" s="23">
        <v>1</v>
      </c>
      <c r="O125" s="23">
        <v>0</v>
      </c>
      <c r="P125" s="23"/>
      <c r="Q125" s="23" t="s">
        <v>45</v>
      </c>
      <c r="R125" s="23">
        <f t="shared" si="20"/>
        <v>2</v>
      </c>
      <c r="S125" s="23" t="s">
        <v>31</v>
      </c>
      <c r="T125" s="23" t="s">
        <v>163</v>
      </c>
      <c r="U125" s="23">
        <f t="shared" si="21"/>
        <v>0</v>
      </c>
      <c r="V125" s="23">
        <v>8</v>
      </c>
      <c r="W125" s="23">
        <f t="shared" si="22"/>
        <v>384</v>
      </c>
      <c r="X125" s="23">
        <v>5</v>
      </c>
      <c r="Y125" s="38">
        <f>Data!I250</f>
        <v>120</v>
      </c>
      <c r="Z125" s="23" t="s">
        <v>64</v>
      </c>
      <c r="AA125" s="23">
        <v>604800</v>
      </c>
      <c r="AB125" s="23" t="str">
        <f t="shared" si="23"/>
        <v>3</v>
      </c>
      <c r="AC125" s="19">
        <f>AVERAGE(Data!I250:BN250)</f>
        <v>139044</v>
      </c>
      <c r="AD125" s="23" t="str">
        <f t="shared" si="24"/>
        <v>3</v>
      </c>
      <c r="AE125" s="38">
        <f t="shared" si="25"/>
        <v>604680</v>
      </c>
      <c r="AF125" s="41">
        <f>Data!I251</f>
        <v>0.45</v>
      </c>
      <c r="AG125" s="19">
        <f>((Data!J251-Data!I251)+(Data!K251-Data!J251)+(Data!L251-Data!K251)+(Data!M251-Data!L251))/4</f>
        <v>-0.11225</v>
      </c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</row>
    <row r="126" spans="1:118" ht="12" customHeight="1" x14ac:dyDescent="0.2">
      <c r="A126" s="27">
        <v>43896</v>
      </c>
      <c r="B126" s="1" t="s">
        <v>216</v>
      </c>
      <c r="C126" s="1" t="s">
        <v>36</v>
      </c>
      <c r="D126" s="23">
        <v>1989</v>
      </c>
      <c r="E126" s="38">
        <v>1</v>
      </c>
      <c r="F126" s="23">
        <v>16</v>
      </c>
      <c r="G126" s="23">
        <v>16</v>
      </c>
      <c r="H126" s="23" t="s">
        <v>25</v>
      </c>
      <c r="I126" s="23" t="s">
        <v>197</v>
      </c>
      <c r="J126" s="23" t="s">
        <v>206</v>
      </c>
      <c r="K126" s="23">
        <f t="shared" si="18"/>
        <v>46</v>
      </c>
      <c r="L126" s="23">
        <f t="shared" si="19"/>
        <v>7</v>
      </c>
      <c r="M126" s="23">
        <v>1</v>
      </c>
      <c r="N126" s="22">
        <v>4</v>
      </c>
      <c r="O126" s="23">
        <v>0</v>
      </c>
      <c r="P126" s="23"/>
      <c r="Q126" s="23" t="s">
        <v>106</v>
      </c>
      <c r="R126" s="23">
        <f t="shared" si="20"/>
        <v>1</v>
      </c>
      <c r="S126" s="23" t="s">
        <v>31</v>
      </c>
      <c r="T126" s="22" t="s">
        <v>342</v>
      </c>
      <c r="U126" s="23">
        <f t="shared" si="21"/>
        <v>1</v>
      </c>
      <c r="V126" s="22">
        <v>50</v>
      </c>
      <c r="W126" s="23">
        <f t="shared" si="22"/>
        <v>800</v>
      </c>
      <c r="X126" s="23">
        <v>5</v>
      </c>
      <c r="Y126" s="38">
        <f>Data!I252</f>
        <v>315360000</v>
      </c>
      <c r="Z126" s="22" t="s">
        <v>130</v>
      </c>
      <c r="AA126" s="23">
        <f>50*365*24*60*60</f>
        <v>1576800000</v>
      </c>
      <c r="AB126" s="23" t="str">
        <f t="shared" si="23"/>
        <v>4</v>
      </c>
      <c r="AC126" s="19">
        <f>AVERAGE(Data!I252:BN252)</f>
        <v>3156672000</v>
      </c>
      <c r="AD126" s="23" t="str">
        <f t="shared" si="24"/>
        <v>4</v>
      </c>
      <c r="AE126" s="38">
        <f t="shared" si="25"/>
        <v>1261440000</v>
      </c>
      <c r="AF126" s="41">
        <f>Data!I253</f>
        <v>0.66666666666666674</v>
      </c>
      <c r="AG126" s="19">
        <f>((Data!J253-Data!I253)+(Data!K253-Data!J253)+(Data!L253-Data!K253)+(Data!M253-Data!L253))/4</f>
        <v>-2.6041666666666657E-2</v>
      </c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</row>
    <row r="127" spans="1:118" ht="12" customHeight="1" x14ac:dyDescent="0.2">
      <c r="A127" s="27">
        <v>43896</v>
      </c>
      <c r="B127" s="1" t="s">
        <v>216</v>
      </c>
      <c r="C127" s="1" t="s">
        <v>36</v>
      </c>
      <c r="D127" s="23">
        <v>1989</v>
      </c>
      <c r="E127" s="38">
        <v>1</v>
      </c>
      <c r="F127" s="23">
        <v>16</v>
      </c>
      <c r="G127" s="23">
        <v>16</v>
      </c>
      <c r="H127" s="23" t="s">
        <v>13</v>
      </c>
      <c r="I127" s="23" t="s">
        <v>197</v>
      </c>
      <c r="J127" s="23" t="s">
        <v>206</v>
      </c>
      <c r="K127" s="23">
        <f t="shared" si="18"/>
        <v>46</v>
      </c>
      <c r="L127" s="23">
        <f t="shared" si="19"/>
        <v>7</v>
      </c>
      <c r="M127" s="23">
        <v>1</v>
      </c>
      <c r="N127" s="22">
        <v>4</v>
      </c>
      <c r="O127" s="23">
        <v>0</v>
      </c>
      <c r="P127" s="23"/>
      <c r="Q127" s="23" t="s">
        <v>111</v>
      </c>
      <c r="R127" s="23">
        <f t="shared" si="20"/>
        <v>4</v>
      </c>
      <c r="S127" s="23" t="s">
        <v>11</v>
      </c>
      <c r="T127" s="22" t="s">
        <v>342</v>
      </c>
      <c r="U127" s="23">
        <f t="shared" si="21"/>
        <v>1</v>
      </c>
      <c r="V127" s="22">
        <v>50</v>
      </c>
      <c r="W127" s="23">
        <f t="shared" si="22"/>
        <v>800</v>
      </c>
      <c r="X127" s="23">
        <v>5</v>
      </c>
      <c r="Y127" s="38">
        <f>Data!I254</f>
        <v>315360000</v>
      </c>
      <c r="Z127" s="22" t="s">
        <v>130</v>
      </c>
      <c r="AA127" s="23">
        <f>50*365*24*60*60</f>
        <v>1576800000</v>
      </c>
      <c r="AB127" s="23" t="str">
        <f t="shared" si="23"/>
        <v>4</v>
      </c>
      <c r="AC127" s="19">
        <f>AVERAGE(Data!I254:BN254)</f>
        <v>3156672000</v>
      </c>
      <c r="AD127" s="23" t="str">
        <f t="shared" si="24"/>
        <v>4</v>
      </c>
      <c r="AE127" s="38">
        <f t="shared" si="25"/>
        <v>1261440000</v>
      </c>
      <c r="AF127" s="41">
        <f>Data!I255</f>
        <v>0.79999999999999993</v>
      </c>
      <c r="AG127" s="19">
        <f>((Data!J255-Data!I255)+(Data!K255-Data!J255)+(Data!L255-Data!K255)+(Data!M255-Data!L255))/4</f>
        <v>-2.5757575757575729E-2</v>
      </c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</row>
    <row r="128" spans="1:118" ht="12" customHeight="1" x14ac:dyDescent="0.2">
      <c r="A128" s="27">
        <v>43951</v>
      </c>
      <c r="B128" s="1" t="s">
        <v>482</v>
      </c>
      <c r="C128" s="1" t="s">
        <v>483</v>
      </c>
      <c r="D128" s="23">
        <v>1963</v>
      </c>
      <c r="E128" s="38">
        <v>1</v>
      </c>
      <c r="F128" s="23">
        <v>112</v>
      </c>
      <c r="G128" s="23">
        <v>16</v>
      </c>
      <c r="H128" s="23" t="s">
        <v>32</v>
      </c>
      <c r="I128" s="23" t="s">
        <v>484</v>
      </c>
      <c r="J128" s="23" t="s">
        <v>190</v>
      </c>
      <c r="K128" s="23">
        <f t="shared" si="18"/>
        <v>21</v>
      </c>
      <c r="L128" s="23">
        <f t="shared" si="19"/>
        <v>4</v>
      </c>
      <c r="M128" s="23">
        <v>1</v>
      </c>
      <c r="N128" s="22">
        <v>2</v>
      </c>
      <c r="O128" s="23">
        <v>0</v>
      </c>
      <c r="P128" s="23"/>
      <c r="Q128" s="23" t="s">
        <v>45</v>
      </c>
      <c r="R128" s="23">
        <f t="shared" si="20"/>
        <v>2</v>
      </c>
      <c r="S128" s="23" t="s">
        <v>11</v>
      </c>
      <c r="T128" s="22" t="s">
        <v>163</v>
      </c>
      <c r="U128" s="23">
        <f t="shared" si="21"/>
        <v>0</v>
      </c>
      <c r="V128" s="22">
        <v>10</v>
      </c>
      <c r="W128" s="23">
        <f t="shared" si="22"/>
        <v>1120</v>
      </c>
      <c r="X128" s="23">
        <v>7</v>
      </c>
      <c r="Y128" s="38">
        <f>Data!I256</f>
        <v>60</v>
      </c>
      <c r="Z128" s="22" t="s">
        <v>89</v>
      </c>
      <c r="AA128" s="23">
        <v>172800</v>
      </c>
      <c r="AB128" s="23" t="str">
        <f t="shared" si="23"/>
        <v>3</v>
      </c>
      <c r="AC128" s="19">
        <f>AVERAGE(Data!I256:BN256)</f>
        <v>139808.57142857142</v>
      </c>
      <c r="AD128" s="23" t="str">
        <f t="shared" si="24"/>
        <v>3</v>
      </c>
      <c r="AE128" s="38">
        <f t="shared" si="25"/>
        <v>172740</v>
      </c>
      <c r="AF128" s="41">
        <f>Data!I257</f>
        <v>0.66335801960545604</v>
      </c>
      <c r="AG128" s="19">
        <f>((Data!J257-Data!I257)+(Data!K257-Data!J257)+(Data!L257-Data!K257)+(Data!M257-Data!L257)+(Data!N257-Data!M257)+(Data!O257-Data!N257))/6</f>
        <v>-2.6962652260619668E-2</v>
      </c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</row>
    <row r="129" spans="1:118" ht="12" customHeight="1" x14ac:dyDescent="0.2">
      <c r="A129" s="27">
        <v>43951</v>
      </c>
      <c r="B129" s="1" t="s">
        <v>482</v>
      </c>
      <c r="C129" s="1" t="s">
        <v>483</v>
      </c>
      <c r="D129" s="23">
        <v>1963</v>
      </c>
      <c r="E129" s="38">
        <v>1</v>
      </c>
      <c r="F129" s="23">
        <v>112</v>
      </c>
      <c r="G129" s="23">
        <v>16</v>
      </c>
      <c r="H129" s="23" t="s">
        <v>32</v>
      </c>
      <c r="I129" s="23" t="s">
        <v>485</v>
      </c>
      <c r="J129" s="23" t="s">
        <v>190</v>
      </c>
      <c r="K129" s="23">
        <f t="shared" si="18"/>
        <v>21</v>
      </c>
      <c r="L129" s="23">
        <f t="shared" si="19"/>
        <v>4</v>
      </c>
      <c r="M129" s="23">
        <v>1</v>
      </c>
      <c r="N129" s="22">
        <v>2</v>
      </c>
      <c r="O129" s="23">
        <v>0</v>
      </c>
      <c r="P129" s="23"/>
      <c r="Q129" s="23" t="s">
        <v>45</v>
      </c>
      <c r="R129" s="23">
        <f t="shared" si="20"/>
        <v>2</v>
      </c>
      <c r="S129" s="23" t="s">
        <v>11</v>
      </c>
      <c r="T129" s="22" t="s">
        <v>163</v>
      </c>
      <c r="U129" s="23">
        <f t="shared" si="21"/>
        <v>0</v>
      </c>
      <c r="V129" s="22">
        <v>10</v>
      </c>
      <c r="W129" s="23">
        <f t="shared" si="22"/>
        <v>1120</v>
      </c>
      <c r="X129" s="23">
        <v>7</v>
      </c>
      <c r="Y129" s="38">
        <f>Data!I258</f>
        <v>60</v>
      </c>
      <c r="Z129" s="22" t="s">
        <v>89</v>
      </c>
      <c r="AA129" s="23">
        <v>172800</v>
      </c>
      <c r="AB129" s="23" t="str">
        <f t="shared" si="23"/>
        <v>3</v>
      </c>
      <c r="AC129" s="19">
        <f>AVERAGE(Data!I258:BN258)</f>
        <v>139808.57142857142</v>
      </c>
      <c r="AD129" s="23" t="str">
        <f t="shared" si="24"/>
        <v>3</v>
      </c>
      <c r="AE129" s="38">
        <f t="shared" si="25"/>
        <v>172740</v>
      </c>
      <c r="AF129" s="41">
        <f>Data!I259</f>
        <v>0.943465503197355</v>
      </c>
      <c r="AG129" s="19">
        <f>((Data!J259-Data!I259)+(Data!K259-Data!J259)+(Data!L259-Data!K259)+(Data!M259-Data!L259)+(Data!N259-Data!M259)+(Data!O259-Data!N259))/6</f>
        <v>-8.8482215585120816E-2</v>
      </c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</row>
    <row r="130" spans="1:118" s="3" customFormat="1" ht="12" customHeight="1" x14ac:dyDescent="0.2">
      <c r="A130" s="27">
        <v>43951</v>
      </c>
      <c r="B130" s="1" t="s">
        <v>482</v>
      </c>
      <c r="C130" s="1" t="s">
        <v>483</v>
      </c>
      <c r="D130" s="23">
        <v>1963</v>
      </c>
      <c r="E130" s="38">
        <v>1</v>
      </c>
      <c r="F130" s="23">
        <v>56</v>
      </c>
      <c r="G130" s="23">
        <v>8</v>
      </c>
      <c r="H130" s="23" t="s">
        <v>32</v>
      </c>
      <c r="I130" s="23" t="s">
        <v>294</v>
      </c>
      <c r="J130" s="23" t="s">
        <v>190</v>
      </c>
      <c r="K130" s="23">
        <f t="shared" si="18"/>
        <v>21</v>
      </c>
      <c r="L130" s="23">
        <f t="shared" si="19"/>
        <v>4</v>
      </c>
      <c r="M130" s="23">
        <v>1</v>
      </c>
      <c r="N130" s="22">
        <v>2</v>
      </c>
      <c r="O130" s="23">
        <v>0</v>
      </c>
      <c r="P130" s="23"/>
      <c r="Q130" s="23" t="s">
        <v>45</v>
      </c>
      <c r="R130" s="23">
        <f t="shared" si="20"/>
        <v>2</v>
      </c>
      <c r="S130" s="23" t="s">
        <v>11</v>
      </c>
      <c r="T130" s="22" t="s">
        <v>163</v>
      </c>
      <c r="U130" s="23">
        <f t="shared" si="21"/>
        <v>0</v>
      </c>
      <c r="V130" s="22">
        <v>10</v>
      </c>
      <c r="W130" s="23">
        <f t="shared" si="22"/>
        <v>560</v>
      </c>
      <c r="X130" s="23">
        <v>7</v>
      </c>
      <c r="Y130" s="38">
        <f>Data!I260</f>
        <v>60</v>
      </c>
      <c r="Z130" s="22" t="s">
        <v>89</v>
      </c>
      <c r="AA130" s="23">
        <v>172800</v>
      </c>
      <c r="AB130" s="23" t="str">
        <f t="shared" si="23"/>
        <v>3</v>
      </c>
      <c r="AC130" s="19">
        <f>AVERAGE(Data!I260:BN260)</f>
        <v>139808.57142857142</v>
      </c>
      <c r="AD130" s="23" t="str">
        <f t="shared" si="24"/>
        <v>3</v>
      </c>
      <c r="AE130" s="38">
        <f t="shared" si="25"/>
        <v>172740</v>
      </c>
      <c r="AF130" s="41">
        <f>Data!I261</f>
        <v>0.98534927486026103</v>
      </c>
      <c r="AG130" s="19">
        <f>((Data!J261-Data!I261)+(Data!K261-Data!J261)+(Data!L261-Data!K261)+(Data!M261-Data!L261)+(Data!N261-Data!M261)+(Data!O261-Data!N261))/6</f>
        <v>-7.1727883003923007E-2</v>
      </c>
    </row>
    <row r="131" spans="1:118" s="3" customFormat="1" ht="12" customHeight="1" x14ac:dyDescent="0.2">
      <c r="A131" s="27">
        <v>43509</v>
      </c>
      <c r="B131" s="32" t="s">
        <v>90</v>
      </c>
      <c r="C131" s="32" t="s">
        <v>48</v>
      </c>
      <c r="D131" s="31">
        <v>2009</v>
      </c>
      <c r="E131" s="44">
        <v>1</v>
      </c>
      <c r="F131" s="31">
        <v>878</v>
      </c>
      <c r="G131" s="31">
        <v>175.6</v>
      </c>
      <c r="H131" s="31" t="s">
        <v>17</v>
      </c>
      <c r="I131" s="31" t="s">
        <v>464</v>
      </c>
      <c r="J131" s="31" t="s">
        <v>375</v>
      </c>
      <c r="K131" s="31">
        <f t="shared" si="18"/>
        <v>44</v>
      </c>
      <c r="L131" s="31">
        <f t="shared" si="19"/>
        <v>7</v>
      </c>
      <c r="M131" s="46">
        <v>0</v>
      </c>
      <c r="N131" s="31">
        <v>2</v>
      </c>
      <c r="O131" s="31">
        <v>0</v>
      </c>
      <c r="P131" s="31"/>
      <c r="Q131" s="31" t="s">
        <v>106</v>
      </c>
      <c r="R131" s="31">
        <f t="shared" si="20"/>
        <v>1</v>
      </c>
      <c r="S131" s="31" t="s">
        <v>31</v>
      </c>
      <c r="T131" s="31" t="s">
        <v>163</v>
      </c>
      <c r="U131" s="31">
        <f t="shared" si="21"/>
        <v>0</v>
      </c>
      <c r="V131" s="31">
        <v>3</v>
      </c>
      <c r="W131" s="31">
        <f t="shared" si="22"/>
        <v>2634</v>
      </c>
      <c r="X131" s="31">
        <v>5</v>
      </c>
      <c r="Y131" s="44">
        <f>Data!I262</f>
        <v>172800</v>
      </c>
      <c r="Z131" s="31" t="s">
        <v>91</v>
      </c>
      <c r="AA131" s="31">
        <v>3974140.8</v>
      </c>
      <c r="AB131" s="31" t="str">
        <f t="shared" si="23"/>
        <v>4</v>
      </c>
      <c r="AC131" s="34">
        <f>AVERAGE(Data!I262:BN262)</f>
        <v>1745297.2799999998</v>
      </c>
      <c r="AD131" s="31" t="str">
        <f t="shared" si="24"/>
        <v>4</v>
      </c>
      <c r="AE131" s="44">
        <f t="shared" si="25"/>
        <v>3801340.8</v>
      </c>
      <c r="AF131" s="45">
        <f>Data!I263</f>
        <v>0.88</v>
      </c>
      <c r="AG131" s="34">
        <f>((Data!J263-Data!I263)+(Data!K263-Data!J263)+(Data!L263-Data!K263)+(Data!M263-Data!L263))/4</f>
        <v>-7.0000000000000007E-2</v>
      </c>
    </row>
    <row r="132" spans="1:118" s="3" customFormat="1" ht="12" customHeight="1" x14ac:dyDescent="0.2">
      <c r="A132" s="27">
        <v>43509</v>
      </c>
      <c r="B132" s="32" t="s">
        <v>90</v>
      </c>
      <c r="C132" s="32" t="s">
        <v>48</v>
      </c>
      <c r="D132" s="31">
        <v>2009</v>
      </c>
      <c r="E132" s="44">
        <v>1</v>
      </c>
      <c r="F132" s="31">
        <v>878</v>
      </c>
      <c r="G132" s="31">
        <v>175.6</v>
      </c>
      <c r="H132" s="31" t="s">
        <v>17</v>
      </c>
      <c r="I132" s="31" t="s">
        <v>465</v>
      </c>
      <c r="J132" s="31" t="s">
        <v>375</v>
      </c>
      <c r="K132" s="31">
        <f t="shared" si="18"/>
        <v>44</v>
      </c>
      <c r="L132" s="31">
        <f t="shared" si="19"/>
        <v>7</v>
      </c>
      <c r="M132" s="46">
        <v>0</v>
      </c>
      <c r="N132" s="31">
        <v>2</v>
      </c>
      <c r="O132" s="31">
        <v>0</v>
      </c>
      <c r="P132" s="31"/>
      <c r="Q132" s="31" t="s">
        <v>106</v>
      </c>
      <c r="R132" s="31">
        <f t="shared" si="20"/>
        <v>1</v>
      </c>
      <c r="S132" s="31" t="s">
        <v>31</v>
      </c>
      <c r="T132" s="31" t="s">
        <v>163</v>
      </c>
      <c r="U132" s="31">
        <f t="shared" si="21"/>
        <v>0</v>
      </c>
      <c r="V132" s="31">
        <v>3</v>
      </c>
      <c r="W132" s="31">
        <f t="shared" si="22"/>
        <v>2634</v>
      </c>
      <c r="X132" s="31">
        <v>5</v>
      </c>
      <c r="Y132" s="44">
        <f>Data!I264</f>
        <v>172800</v>
      </c>
      <c r="Z132" s="31" t="s">
        <v>91</v>
      </c>
      <c r="AA132" s="31">
        <v>3974140.8</v>
      </c>
      <c r="AB132" s="31" t="str">
        <f t="shared" si="23"/>
        <v>4</v>
      </c>
      <c r="AC132" s="34">
        <f>AVERAGE(Data!I264:BN264)</f>
        <v>1745297.2799999998</v>
      </c>
      <c r="AD132" s="31" t="str">
        <f t="shared" si="24"/>
        <v>4</v>
      </c>
      <c r="AE132" s="44">
        <f t="shared" si="25"/>
        <v>3801340.8</v>
      </c>
      <c r="AF132" s="45">
        <f>Data!I265</f>
        <v>0.84</v>
      </c>
      <c r="AG132" s="34">
        <f>((Data!J265-Data!I265)+(Data!K265-Data!J265)+(Data!L265-Data!K265)+(Data!M265-Data!L265))/4</f>
        <v>-5.3749999999999992E-2</v>
      </c>
    </row>
    <row r="133" spans="1:118" s="3" customFormat="1" ht="12" customHeight="1" x14ac:dyDescent="0.2">
      <c r="A133" s="27">
        <v>43509</v>
      </c>
      <c r="B133" s="32" t="s">
        <v>90</v>
      </c>
      <c r="C133" s="32" t="s">
        <v>48</v>
      </c>
      <c r="D133" s="31">
        <v>2009</v>
      </c>
      <c r="E133" s="44">
        <v>1</v>
      </c>
      <c r="F133" s="31">
        <v>878</v>
      </c>
      <c r="G133" s="31">
        <v>175.6</v>
      </c>
      <c r="H133" s="31" t="s">
        <v>17</v>
      </c>
      <c r="I133" s="31" t="s">
        <v>466</v>
      </c>
      <c r="J133" s="31" t="s">
        <v>375</v>
      </c>
      <c r="K133" s="31">
        <f t="shared" si="18"/>
        <v>44</v>
      </c>
      <c r="L133" s="31">
        <f t="shared" si="19"/>
        <v>7</v>
      </c>
      <c r="M133" s="46">
        <v>0</v>
      </c>
      <c r="N133" s="31">
        <v>2</v>
      </c>
      <c r="O133" s="31">
        <v>0</v>
      </c>
      <c r="P133" s="31"/>
      <c r="Q133" s="31" t="s">
        <v>106</v>
      </c>
      <c r="R133" s="31">
        <f t="shared" si="20"/>
        <v>1</v>
      </c>
      <c r="S133" s="31" t="s">
        <v>31</v>
      </c>
      <c r="T133" s="31" t="s">
        <v>163</v>
      </c>
      <c r="U133" s="31">
        <f t="shared" si="21"/>
        <v>0</v>
      </c>
      <c r="V133" s="31">
        <v>3</v>
      </c>
      <c r="W133" s="31">
        <f t="shared" si="22"/>
        <v>2634</v>
      </c>
      <c r="X133" s="31">
        <v>5</v>
      </c>
      <c r="Y133" s="44">
        <f>Data!I266</f>
        <v>172800</v>
      </c>
      <c r="Z133" s="31" t="s">
        <v>91</v>
      </c>
      <c r="AA133" s="31">
        <v>3974140.8</v>
      </c>
      <c r="AB133" s="31" t="str">
        <f t="shared" si="23"/>
        <v>4</v>
      </c>
      <c r="AC133" s="34">
        <f>AVERAGE(Data!I266:BN266)</f>
        <v>1745297.2799999998</v>
      </c>
      <c r="AD133" s="31" t="str">
        <f t="shared" si="24"/>
        <v>4</v>
      </c>
      <c r="AE133" s="44">
        <f t="shared" si="25"/>
        <v>3801340.8</v>
      </c>
      <c r="AF133" s="45">
        <f>Data!I267</f>
        <v>0.86</v>
      </c>
      <c r="AG133" s="34">
        <f>((Data!J267-Data!I267)+(Data!K267-Data!J267)+(Data!L267-Data!K267)+(Data!M267-Data!L267))/4</f>
        <v>-0.06</v>
      </c>
    </row>
    <row r="134" spans="1:118" s="3" customFormat="1" ht="12" customHeight="1" x14ac:dyDescent="0.2">
      <c r="A134" s="27">
        <v>43509</v>
      </c>
      <c r="B134" s="32" t="s">
        <v>90</v>
      </c>
      <c r="C134" s="32" t="s">
        <v>48</v>
      </c>
      <c r="D134" s="31">
        <v>2009</v>
      </c>
      <c r="E134" s="44">
        <v>1</v>
      </c>
      <c r="F134" s="31">
        <v>878</v>
      </c>
      <c r="G134" s="31">
        <v>175.6</v>
      </c>
      <c r="H134" s="31" t="s">
        <v>17</v>
      </c>
      <c r="I134" s="31" t="s">
        <v>467</v>
      </c>
      <c r="J134" s="31" t="s">
        <v>375</v>
      </c>
      <c r="K134" s="31">
        <f t="shared" si="18"/>
        <v>44</v>
      </c>
      <c r="L134" s="31">
        <f t="shared" si="19"/>
        <v>7</v>
      </c>
      <c r="M134" s="46">
        <v>0</v>
      </c>
      <c r="N134" s="31">
        <v>2</v>
      </c>
      <c r="O134" s="31">
        <v>0</v>
      </c>
      <c r="P134" s="31"/>
      <c r="Q134" s="31" t="s">
        <v>106</v>
      </c>
      <c r="R134" s="31">
        <f t="shared" si="20"/>
        <v>1</v>
      </c>
      <c r="S134" s="31" t="s">
        <v>31</v>
      </c>
      <c r="T134" s="31" t="s">
        <v>163</v>
      </c>
      <c r="U134" s="31">
        <f t="shared" si="21"/>
        <v>0</v>
      </c>
      <c r="V134" s="31">
        <v>3</v>
      </c>
      <c r="W134" s="31">
        <f t="shared" si="22"/>
        <v>2634</v>
      </c>
      <c r="X134" s="31">
        <v>5</v>
      </c>
      <c r="Y134" s="44">
        <f>Data!I268</f>
        <v>172800</v>
      </c>
      <c r="Z134" s="31" t="s">
        <v>91</v>
      </c>
      <c r="AA134" s="31">
        <v>3974140.8</v>
      </c>
      <c r="AB134" s="31" t="str">
        <f t="shared" si="23"/>
        <v>4</v>
      </c>
      <c r="AC134" s="34">
        <f>AVERAGE(Data!I268:BN268)</f>
        <v>1745297.2799999998</v>
      </c>
      <c r="AD134" s="31" t="str">
        <f t="shared" si="24"/>
        <v>4</v>
      </c>
      <c r="AE134" s="44">
        <f t="shared" si="25"/>
        <v>3801340.8</v>
      </c>
      <c r="AF134" s="45">
        <f>Data!I269</f>
        <v>0.92</v>
      </c>
      <c r="AG134" s="34">
        <f>((Data!J269-Data!I269)+(Data!K269-Data!J269)+(Data!L269-Data!K269)+(Data!M269-Data!L269))/4</f>
        <v>-5.2500000000000019E-2</v>
      </c>
    </row>
    <row r="135" spans="1:118" s="3" customFormat="1" ht="12" customHeight="1" x14ac:dyDescent="0.2">
      <c r="A135" s="27">
        <v>43509</v>
      </c>
      <c r="B135" s="32" t="s">
        <v>90</v>
      </c>
      <c r="C135" s="32" t="s">
        <v>48</v>
      </c>
      <c r="D135" s="31">
        <v>2009</v>
      </c>
      <c r="E135" s="44">
        <v>1</v>
      </c>
      <c r="F135" s="31">
        <v>878</v>
      </c>
      <c r="G135" s="31">
        <v>175.6</v>
      </c>
      <c r="H135" s="31" t="s">
        <v>17</v>
      </c>
      <c r="I135" s="31" t="s">
        <v>468</v>
      </c>
      <c r="J135" s="31" t="s">
        <v>375</v>
      </c>
      <c r="K135" s="31">
        <f t="shared" si="18"/>
        <v>44</v>
      </c>
      <c r="L135" s="31">
        <f t="shared" si="19"/>
        <v>7</v>
      </c>
      <c r="M135" s="46">
        <v>0</v>
      </c>
      <c r="N135" s="31">
        <v>2</v>
      </c>
      <c r="O135" s="31">
        <v>0</v>
      </c>
      <c r="P135" s="31"/>
      <c r="Q135" s="31" t="s">
        <v>106</v>
      </c>
      <c r="R135" s="31">
        <f t="shared" si="20"/>
        <v>1</v>
      </c>
      <c r="S135" s="31" t="s">
        <v>31</v>
      </c>
      <c r="T135" s="31" t="s">
        <v>163</v>
      </c>
      <c r="U135" s="31">
        <f t="shared" si="21"/>
        <v>0</v>
      </c>
      <c r="V135" s="31">
        <v>3</v>
      </c>
      <c r="W135" s="31">
        <f t="shared" si="22"/>
        <v>2634</v>
      </c>
      <c r="X135" s="31">
        <v>5</v>
      </c>
      <c r="Y135" s="44">
        <f>Data!I270</f>
        <v>172800</v>
      </c>
      <c r="Z135" s="31" t="s">
        <v>91</v>
      </c>
      <c r="AA135" s="31">
        <v>3974140.8</v>
      </c>
      <c r="AB135" s="31" t="str">
        <f t="shared" si="23"/>
        <v>4</v>
      </c>
      <c r="AC135" s="34">
        <f>AVERAGE(Data!I270:BN270)</f>
        <v>1745297.2799999998</v>
      </c>
      <c r="AD135" s="31" t="str">
        <f t="shared" si="24"/>
        <v>4</v>
      </c>
      <c r="AE135" s="44">
        <f t="shared" si="25"/>
        <v>3801340.8</v>
      </c>
      <c r="AF135" s="45">
        <f>Data!I271</f>
        <v>0.95</v>
      </c>
      <c r="AG135" s="34">
        <f>((Data!J271-Data!I271)+(Data!K271-Data!J271)+(Data!L271-Data!K271)+(Data!M271-Data!L271))/4</f>
        <v>-3.2500000000000001E-2</v>
      </c>
    </row>
    <row r="136" spans="1:118" s="3" customFormat="1" ht="12" customHeight="1" x14ac:dyDescent="0.2">
      <c r="A136" s="27">
        <v>43509</v>
      </c>
      <c r="B136" s="32" t="s">
        <v>90</v>
      </c>
      <c r="C136" s="32" t="s">
        <v>48</v>
      </c>
      <c r="D136" s="31">
        <v>2009</v>
      </c>
      <c r="E136" s="44">
        <v>1</v>
      </c>
      <c r="F136" s="31">
        <v>878</v>
      </c>
      <c r="G136" s="31">
        <v>175.6</v>
      </c>
      <c r="H136" s="31" t="s">
        <v>17</v>
      </c>
      <c r="I136" s="31" t="s">
        <v>469</v>
      </c>
      <c r="J136" s="31" t="s">
        <v>375</v>
      </c>
      <c r="K136" s="31">
        <f t="shared" si="18"/>
        <v>44</v>
      </c>
      <c r="L136" s="31">
        <f t="shared" si="19"/>
        <v>7</v>
      </c>
      <c r="M136" s="46">
        <v>0</v>
      </c>
      <c r="N136" s="31">
        <v>2</v>
      </c>
      <c r="O136" s="31">
        <v>0</v>
      </c>
      <c r="P136" s="31"/>
      <c r="Q136" s="31" t="s">
        <v>106</v>
      </c>
      <c r="R136" s="31">
        <f t="shared" si="20"/>
        <v>1</v>
      </c>
      <c r="S136" s="31" t="s">
        <v>31</v>
      </c>
      <c r="T136" s="31" t="s">
        <v>163</v>
      </c>
      <c r="U136" s="31">
        <f t="shared" si="21"/>
        <v>0</v>
      </c>
      <c r="V136" s="31">
        <v>3</v>
      </c>
      <c r="W136" s="31">
        <f t="shared" si="22"/>
        <v>2634</v>
      </c>
      <c r="X136" s="31">
        <v>5</v>
      </c>
      <c r="Y136" s="44">
        <f>Data!I272</f>
        <v>172800</v>
      </c>
      <c r="Z136" s="31" t="s">
        <v>91</v>
      </c>
      <c r="AA136" s="31">
        <v>3974140.8</v>
      </c>
      <c r="AB136" s="31" t="str">
        <f t="shared" si="23"/>
        <v>4</v>
      </c>
      <c r="AC136" s="34">
        <f>AVERAGE(Data!I272:BN272)</f>
        <v>1745297.2799999998</v>
      </c>
      <c r="AD136" s="31" t="str">
        <f t="shared" si="24"/>
        <v>4</v>
      </c>
      <c r="AE136" s="44">
        <f t="shared" si="25"/>
        <v>3801340.8</v>
      </c>
      <c r="AF136" s="45">
        <f>Data!I273</f>
        <v>0.78</v>
      </c>
      <c r="AG136" s="34">
        <f>((Data!J273-Data!I273)+(Data!K273-Data!J273)+(Data!L273-Data!K273)+(Data!M273-Data!L273))/4</f>
        <v>-0.13250000000000001</v>
      </c>
    </row>
    <row r="137" spans="1:118" s="3" customFormat="1" ht="12" customHeight="1" x14ac:dyDescent="0.2">
      <c r="A137" s="27">
        <v>43509</v>
      </c>
      <c r="B137" s="32" t="s">
        <v>90</v>
      </c>
      <c r="C137" s="32" t="s">
        <v>48</v>
      </c>
      <c r="D137" s="31">
        <v>2009</v>
      </c>
      <c r="E137" s="44">
        <v>1</v>
      </c>
      <c r="F137" s="31">
        <v>878</v>
      </c>
      <c r="G137" s="31">
        <v>175.6</v>
      </c>
      <c r="H137" s="31" t="s">
        <v>17</v>
      </c>
      <c r="I137" s="31" t="s">
        <v>470</v>
      </c>
      <c r="J137" s="31" t="s">
        <v>375</v>
      </c>
      <c r="K137" s="31">
        <f t="shared" si="18"/>
        <v>44</v>
      </c>
      <c r="L137" s="31">
        <f t="shared" si="19"/>
        <v>7</v>
      </c>
      <c r="M137" s="46">
        <v>0</v>
      </c>
      <c r="N137" s="31">
        <v>2</v>
      </c>
      <c r="O137" s="31">
        <v>0</v>
      </c>
      <c r="P137" s="31"/>
      <c r="Q137" s="31" t="s">
        <v>106</v>
      </c>
      <c r="R137" s="31">
        <f t="shared" si="20"/>
        <v>1</v>
      </c>
      <c r="S137" s="31" t="s">
        <v>31</v>
      </c>
      <c r="T137" s="31" t="s">
        <v>163</v>
      </c>
      <c r="U137" s="31">
        <f t="shared" si="21"/>
        <v>0</v>
      </c>
      <c r="V137" s="31">
        <v>3</v>
      </c>
      <c r="W137" s="31">
        <f t="shared" si="22"/>
        <v>2634</v>
      </c>
      <c r="X137" s="31">
        <v>5</v>
      </c>
      <c r="Y137" s="44">
        <f>Data!I274</f>
        <v>172800</v>
      </c>
      <c r="Z137" s="31" t="s">
        <v>91</v>
      </c>
      <c r="AA137" s="31">
        <v>3974140.8</v>
      </c>
      <c r="AB137" s="31" t="str">
        <f t="shared" si="23"/>
        <v>4</v>
      </c>
      <c r="AC137" s="34">
        <f>AVERAGE(Data!I274:BN274)</f>
        <v>1745297.2799999998</v>
      </c>
      <c r="AD137" s="31" t="str">
        <f t="shared" si="24"/>
        <v>4</v>
      </c>
      <c r="AE137" s="44">
        <f t="shared" si="25"/>
        <v>3801340.8</v>
      </c>
      <c r="AF137" s="45">
        <f>Data!I275</f>
        <v>0.94</v>
      </c>
      <c r="AG137" s="34">
        <f>((Data!J275-Data!I275)+(Data!K275-Data!J275)+(Data!L275-Data!K275)+(Data!M275-Data!L275))/4</f>
        <v>-7.4999999999999983E-2</v>
      </c>
    </row>
    <row r="138" spans="1:118" s="3" customFormat="1" ht="12" customHeight="1" x14ac:dyDescent="0.2">
      <c r="A138" s="27">
        <v>43509</v>
      </c>
      <c r="B138" s="32" t="s">
        <v>90</v>
      </c>
      <c r="C138" s="32" t="s">
        <v>48</v>
      </c>
      <c r="D138" s="31">
        <v>2009</v>
      </c>
      <c r="E138" s="44">
        <v>1</v>
      </c>
      <c r="F138" s="31">
        <v>878</v>
      </c>
      <c r="G138" s="31">
        <v>175.6</v>
      </c>
      <c r="H138" s="31" t="s">
        <v>17</v>
      </c>
      <c r="I138" s="31" t="s">
        <v>471</v>
      </c>
      <c r="J138" s="31" t="s">
        <v>375</v>
      </c>
      <c r="K138" s="31">
        <f t="shared" si="18"/>
        <v>44</v>
      </c>
      <c r="L138" s="31">
        <f t="shared" si="19"/>
        <v>7</v>
      </c>
      <c r="M138" s="46">
        <v>0</v>
      </c>
      <c r="N138" s="31">
        <v>2</v>
      </c>
      <c r="O138" s="31">
        <v>0</v>
      </c>
      <c r="P138" s="31"/>
      <c r="Q138" s="31" t="s">
        <v>106</v>
      </c>
      <c r="R138" s="31">
        <f t="shared" si="20"/>
        <v>1</v>
      </c>
      <c r="S138" s="31" t="s">
        <v>31</v>
      </c>
      <c r="T138" s="31" t="s">
        <v>163</v>
      </c>
      <c r="U138" s="31">
        <f t="shared" si="21"/>
        <v>0</v>
      </c>
      <c r="V138" s="31">
        <v>3</v>
      </c>
      <c r="W138" s="31">
        <f t="shared" si="22"/>
        <v>2634</v>
      </c>
      <c r="X138" s="31">
        <v>5</v>
      </c>
      <c r="Y138" s="44">
        <f>Data!I276</f>
        <v>172800</v>
      </c>
      <c r="Z138" s="31" t="s">
        <v>91</v>
      </c>
      <c r="AA138" s="31">
        <v>3974140.8</v>
      </c>
      <c r="AB138" s="31" t="str">
        <f t="shared" si="23"/>
        <v>4</v>
      </c>
      <c r="AC138" s="34">
        <f>AVERAGE(Data!I276:BN276)</f>
        <v>1745297.2799999998</v>
      </c>
      <c r="AD138" s="31" t="str">
        <f t="shared" si="24"/>
        <v>4</v>
      </c>
      <c r="AE138" s="44">
        <f t="shared" si="25"/>
        <v>3801340.8</v>
      </c>
      <c r="AF138" s="45">
        <f>Data!I277</f>
        <v>0.68500000000000005</v>
      </c>
      <c r="AG138" s="34">
        <f>((Data!J277-Data!I277)+(Data!K277-Data!J277)+(Data!L277-Data!K277)+(Data!M277-Data!L277))/4</f>
        <v>-7.6250000000000012E-2</v>
      </c>
    </row>
    <row r="139" spans="1:118" s="3" customFormat="1" ht="12" customHeight="1" x14ac:dyDescent="0.2">
      <c r="A139" s="27">
        <v>43509</v>
      </c>
      <c r="B139" s="32" t="s">
        <v>90</v>
      </c>
      <c r="C139" s="32" t="s">
        <v>48</v>
      </c>
      <c r="D139" s="31">
        <v>2009</v>
      </c>
      <c r="E139" s="44">
        <v>1</v>
      </c>
      <c r="F139" s="31">
        <v>878</v>
      </c>
      <c r="G139" s="31">
        <v>175.6</v>
      </c>
      <c r="H139" s="31" t="s">
        <v>17</v>
      </c>
      <c r="I139" s="31" t="s">
        <v>472</v>
      </c>
      <c r="J139" s="31" t="s">
        <v>375</v>
      </c>
      <c r="K139" s="31">
        <f t="shared" si="18"/>
        <v>44</v>
      </c>
      <c r="L139" s="31">
        <f t="shared" si="19"/>
        <v>7</v>
      </c>
      <c r="M139" s="46">
        <v>0</v>
      </c>
      <c r="N139" s="31">
        <v>2</v>
      </c>
      <c r="O139" s="31">
        <v>0</v>
      </c>
      <c r="P139" s="31"/>
      <c r="Q139" s="31" t="s">
        <v>106</v>
      </c>
      <c r="R139" s="31">
        <f t="shared" si="20"/>
        <v>1</v>
      </c>
      <c r="S139" s="31" t="s">
        <v>31</v>
      </c>
      <c r="T139" s="31" t="s">
        <v>163</v>
      </c>
      <c r="U139" s="31">
        <f t="shared" si="21"/>
        <v>0</v>
      </c>
      <c r="V139" s="31">
        <v>3</v>
      </c>
      <c r="W139" s="31">
        <f t="shared" si="22"/>
        <v>2634</v>
      </c>
      <c r="X139" s="31">
        <v>5</v>
      </c>
      <c r="Y139" s="44">
        <f>Data!I278</f>
        <v>172800</v>
      </c>
      <c r="Z139" s="31" t="s">
        <v>91</v>
      </c>
      <c r="AA139" s="31">
        <v>3974140.8</v>
      </c>
      <c r="AB139" s="31" t="str">
        <f t="shared" si="23"/>
        <v>4</v>
      </c>
      <c r="AC139" s="34">
        <f>AVERAGE(Data!I278:BN278)</f>
        <v>1745297.2799999998</v>
      </c>
      <c r="AD139" s="31" t="str">
        <f t="shared" si="24"/>
        <v>4</v>
      </c>
      <c r="AE139" s="44">
        <f t="shared" si="25"/>
        <v>3801340.8</v>
      </c>
      <c r="AF139" s="45">
        <f>Data!I279</f>
        <v>0.65</v>
      </c>
      <c r="AG139" s="34">
        <f>((Data!J279-Data!I279)+(Data!K279-Data!J279)+(Data!L279-Data!K279)+(Data!M279-Data!L279))/4</f>
        <v>-0.10375000000000001</v>
      </c>
    </row>
    <row r="140" spans="1:118" s="3" customFormat="1" ht="12" customHeight="1" x14ac:dyDescent="0.2">
      <c r="A140" s="27">
        <v>43509</v>
      </c>
      <c r="B140" s="1" t="s">
        <v>92</v>
      </c>
      <c r="C140" s="1" t="s">
        <v>76</v>
      </c>
      <c r="D140" s="23">
        <v>1929</v>
      </c>
      <c r="E140" s="38">
        <v>1</v>
      </c>
      <c r="F140" s="23">
        <v>120</v>
      </c>
      <c r="G140" s="23">
        <v>20</v>
      </c>
      <c r="H140" s="23" t="s">
        <v>387</v>
      </c>
      <c r="I140" s="36">
        <v>1</v>
      </c>
      <c r="J140" s="23" t="s">
        <v>12</v>
      </c>
      <c r="K140" s="23">
        <f t="shared" si="18"/>
        <v>9</v>
      </c>
      <c r="L140" s="23">
        <f t="shared" si="19"/>
        <v>2</v>
      </c>
      <c r="M140" s="23">
        <v>1</v>
      </c>
      <c r="N140" s="23">
        <v>2</v>
      </c>
      <c r="O140" s="23">
        <v>0</v>
      </c>
      <c r="P140" s="23"/>
      <c r="Q140" s="23" t="s">
        <v>59</v>
      </c>
      <c r="R140" s="23">
        <f t="shared" si="20"/>
        <v>5</v>
      </c>
      <c r="S140" s="23" t="s">
        <v>59</v>
      </c>
      <c r="T140" s="23" t="s">
        <v>163</v>
      </c>
      <c r="U140" s="23">
        <f t="shared" si="21"/>
        <v>0</v>
      </c>
      <c r="V140" s="23">
        <v>12</v>
      </c>
      <c r="W140" s="23">
        <f t="shared" si="22"/>
        <v>1440</v>
      </c>
      <c r="X140" s="23">
        <v>6</v>
      </c>
      <c r="Y140" s="38">
        <f>Data!I280</f>
        <v>86400</v>
      </c>
      <c r="Z140" s="23" t="s">
        <v>82</v>
      </c>
      <c r="AA140" s="23">
        <v>2419200</v>
      </c>
      <c r="AB140" s="23" t="str">
        <f t="shared" si="23"/>
        <v>4</v>
      </c>
      <c r="AC140" s="19">
        <f>AVERAGE(Data!I280:BN280)</f>
        <v>806400</v>
      </c>
      <c r="AD140" s="23" t="str">
        <f t="shared" si="24"/>
        <v>4</v>
      </c>
      <c r="AE140" s="38">
        <f t="shared" si="25"/>
        <v>2332800</v>
      </c>
      <c r="AF140" s="41">
        <f>Data!I281</f>
        <v>0.21729999999999999</v>
      </c>
      <c r="AG140" s="19">
        <f>((Data!J281-Data!I281)+(Data!K281-Data!J281)+(Data!L281-Data!K281)+(Data!M281-Data!L281)+(Data!N281-Data!M281))/5</f>
        <v>-4.0459999999999996E-2</v>
      </c>
    </row>
    <row r="141" spans="1:118" s="3" customFormat="1" ht="12" customHeight="1" x14ac:dyDescent="0.2">
      <c r="A141" s="27">
        <v>43509</v>
      </c>
      <c r="B141" s="1" t="s">
        <v>92</v>
      </c>
      <c r="C141" s="1" t="s">
        <v>76</v>
      </c>
      <c r="D141" s="23">
        <v>1929</v>
      </c>
      <c r="E141" s="38">
        <v>1</v>
      </c>
      <c r="F141" s="23">
        <v>120</v>
      </c>
      <c r="G141" s="23">
        <v>20</v>
      </c>
      <c r="H141" s="23" t="s">
        <v>387</v>
      </c>
      <c r="I141" s="36">
        <v>1.5</v>
      </c>
      <c r="J141" s="23" t="s">
        <v>12</v>
      </c>
      <c r="K141" s="23">
        <f t="shared" si="18"/>
        <v>9</v>
      </c>
      <c r="L141" s="23">
        <f t="shared" si="19"/>
        <v>2</v>
      </c>
      <c r="M141" s="23">
        <v>1</v>
      </c>
      <c r="N141" s="23">
        <v>2</v>
      </c>
      <c r="O141" s="23">
        <v>0</v>
      </c>
      <c r="P141" s="23"/>
      <c r="Q141" s="23" t="s">
        <v>59</v>
      </c>
      <c r="R141" s="23">
        <f t="shared" si="20"/>
        <v>5</v>
      </c>
      <c r="S141" s="23" t="s">
        <v>59</v>
      </c>
      <c r="T141" s="23" t="s">
        <v>163</v>
      </c>
      <c r="U141" s="23">
        <f t="shared" si="21"/>
        <v>0</v>
      </c>
      <c r="V141" s="23">
        <v>12</v>
      </c>
      <c r="W141" s="23">
        <f t="shared" si="22"/>
        <v>1440</v>
      </c>
      <c r="X141" s="23">
        <v>6</v>
      </c>
      <c r="Y141" s="38">
        <f>Data!I282</f>
        <v>86400</v>
      </c>
      <c r="Z141" s="23" t="s">
        <v>82</v>
      </c>
      <c r="AA141" s="23">
        <v>2419200</v>
      </c>
      <c r="AB141" s="23" t="str">
        <f t="shared" si="23"/>
        <v>4</v>
      </c>
      <c r="AC141" s="19">
        <f>AVERAGE(Data!I282:BN282)</f>
        <v>806400</v>
      </c>
      <c r="AD141" s="23" t="str">
        <f t="shared" si="24"/>
        <v>4</v>
      </c>
      <c r="AE141" s="38">
        <f t="shared" si="25"/>
        <v>2332800</v>
      </c>
      <c r="AF141" s="41">
        <f>Data!I283</f>
        <v>0.36149999999999999</v>
      </c>
      <c r="AG141" s="19">
        <f>((Data!J283-Data!I283)+(Data!K283-Data!J283)+(Data!L283-Data!K283)+(Data!M283-Data!L283)+(Data!N283-Data!M283))/5</f>
        <v>-3.1300000000000001E-2</v>
      </c>
    </row>
    <row r="142" spans="1:118" s="3" customFormat="1" ht="12" customHeight="1" x14ac:dyDescent="0.2">
      <c r="A142" s="27">
        <v>43509</v>
      </c>
      <c r="B142" s="1" t="s">
        <v>92</v>
      </c>
      <c r="C142" s="1" t="s">
        <v>76</v>
      </c>
      <c r="D142" s="23">
        <v>1929</v>
      </c>
      <c r="E142" s="38">
        <v>1</v>
      </c>
      <c r="F142" s="23">
        <v>120</v>
      </c>
      <c r="G142" s="23">
        <v>20</v>
      </c>
      <c r="H142" s="23" t="s">
        <v>387</v>
      </c>
      <c r="I142" s="36">
        <v>2</v>
      </c>
      <c r="J142" s="23" t="s">
        <v>12</v>
      </c>
      <c r="K142" s="23">
        <f t="shared" si="18"/>
        <v>9</v>
      </c>
      <c r="L142" s="23">
        <f t="shared" si="19"/>
        <v>2</v>
      </c>
      <c r="M142" s="23">
        <v>1</v>
      </c>
      <c r="N142" s="23">
        <v>2</v>
      </c>
      <c r="O142" s="23">
        <v>0</v>
      </c>
      <c r="P142" s="23"/>
      <c r="Q142" s="23" t="s">
        <v>59</v>
      </c>
      <c r="R142" s="23">
        <f t="shared" si="20"/>
        <v>5</v>
      </c>
      <c r="S142" s="23" t="s">
        <v>59</v>
      </c>
      <c r="T142" s="23" t="s">
        <v>163</v>
      </c>
      <c r="U142" s="23">
        <f t="shared" si="21"/>
        <v>0</v>
      </c>
      <c r="V142" s="23">
        <v>12</v>
      </c>
      <c r="W142" s="23">
        <f t="shared" si="22"/>
        <v>1440</v>
      </c>
      <c r="X142" s="23">
        <v>6</v>
      </c>
      <c r="Y142" s="38">
        <f>Data!I284</f>
        <v>86400</v>
      </c>
      <c r="Z142" s="23" t="s">
        <v>82</v>
      </c>
      <c r="AA142" s="23">
        <v>2419200</v>
      </c>
      <c r="AB142" s="23" t="str">
        <f t="shared" si="23"/>
        <v>4</v>
      </c>
      <c r="AC142" s="19">
        <f>AVERAGE(Data!I284:BN284)</f>
        <v>806400</v>
      </c>
      <c r="AD142" s="23" t="str">
        <f t="shared" si="24"/>
        <v>4</v>
      </c>
      <c r="AE142" s="38">
        <f t="shared" si="25"/>
        <v>2332800</v>
      </c>
      <c r="AF142" s="41">
        <f>Data!I285</f>
        <v>0.47099999999999997</v>
      </c>
      <c r="AG142" s="19">
        <f>((Data!J285-Data!I285)+(Data!K285-Data!J285)+(Data!L285-Data!K285)+(Data!M285-Data!L285)+(Data!N285-Data!M285))/5</f>
        <v>-4.3999999999999997E-2</v>
      </c>
    </row>
    <row r="143" spans="1:118" s="3" customFormat="1" ht="12" customHeight="1" x14ac:dyDescent="0.2">
      <c r="A143" s="27">
        <v>43509</v>
      </c>
      <c r="B143" s="32" t="s">
        <v>113</v>
      </c>
      <c r="C143" s="32" t="s">
        <v>101</v>
      </c>
      <c r="D143" s="31">
        <v>1971</v>
      </c>
      <c r="E143" s="44">
        <v>1</v>
      </c>
      <c r="F143" s="31">
        <v>50</v>
      </c>
      <c r="G143" s="31">
        <v>10</v>
      </c>
      <c r="H143" s="31" t="s">
        <v>22</v>
      </c>
      <c r="I143" s="31" t="s">
        <v>423</v>
      </c>
      <c r="J143" s="31" t="s">
        <v>12</v>
      </c>
      <c r="K143" s="31">
        <f t="shared" si="18"/>
        <v>9</v>
      </c>
      <c r="L143" s="31">
        <f t="shared" si="19"/>
        <v>2</v>
      </c>
      <c r="M143" s="31">
        <v>0</v>
      </c>
      <c r="N143" s="31">
        <v>3</v>
      </c>
      <c r="O143" s="31">
        <v>0</v>
      </c>
      <c r="P143" s="31"/>
      <c r="Q143" s="31" t="s">
        <v>45</v>
      </c>
      <c r="R143" s="31">
        <f t="shared" si="20"/>
        <v>2</v>
      </c>
      <c r="S143" s="31" t="s">
        <v>11</v>
      </c>
      <c r="T143" s="31" t="s">
        <v>163</v>
      </c>
      <c r="U143" s="31">
        <f t="shared" si="21"/>
        <v>0</v>
      </c>
      <c r="V143" s="31">
        <v>8</v>
      </c>
      <c r="W143" s="31">
        <f t="shared" si="22"/>
        <v>400</v>
      </c>
      <c r="X143" s="31">
        <v>5</v>
      </c>
      <c r="Y143" s="44">
        <f>Data!I286</f>
        <v>300</v>
      </c>
      <c r="Z143" s="31" t="s">
        <v>114</v>
      </c>
      <c r="AA143" s="31">
        <v>2628002.88</v>
      </c>
      <c r="AB143" s="31" t="str">
        <f t="shared" si="23"/>
        <v>4</v>
      </c>
      <c r="AC143" s="34">
        <f>AVERAGE(Data!I286:BN286)</f>
        <v>657420</v>
      </c>
      <c r="AD143" s="31" t="str">
        <f t="shared" si="24"/>
        <v>3</v>
      </c>
      <c r="AE143" s="44">
        <f t="shared" si="25"/>
        <v>2627702.88</v>
      </c>
      <c r="AF143" s="45">
        <f>Data!I287</f>
        <v>0.36249999999999999</v>
      </c>
      <c r="AG143" s="34">
        <f>((Data!J287-Data!I287)+(Data!K287-Data!J287)+(Data!L287-Data!K287)+(Data!M287-Data!L287))/4</f>
        <v>-6.25E-2</v>
      </c>
      <c r="DN143" s="4"/>
    </row>
    <row r="144" spans="1:118" s="3" customFormat="1" ht="12" customHeight="1" x14ac:dyDescent="0.2">
      <c r="A144" s="27">
        <v>44046</v>
      </c>
      <c r="B144" s="1" t="s">
        <v>540</v>
      </c>
      <c r="C144" s="1" t="s">
        <v>522</v>
      </c>
      <c r="D144" s="23">
        <v>2017</v>
      </c>
      <c r="E144" s="38">
        <v>1</v>
      </c>
      <c r="F144" s="23">
        <v>20</v>
      </c>
      <c r="G144" s="23">
        <v>20</v>
      </c>
      <c r="H144" s="23" t="s">
        <v>22</v>
      </c>
      <c r="I144" s="23" t="s">
        <v>197</v>
      </c>
      <c r="J144" s="23" t="s">
        <v>375</v>
      </c>
      <c r="K144" s="23">
        <f t="shared" si="18"/>
        <v>44</v>
      </c>
      <c r="L144" s="23">
        <v>7</v>
      </c>
      <c r="M144" s="23">
        <v>0</v>
      </c>
      <c r="N144" s="23">
        <v>3</v>
      </c>
      <c r="O144" s="23">
        <v>0</v>
      </c>
      <c r="P144" s="23"/>
      <c r="Q144" s="69" t="s">
        <v>106</v>
      </c>
      <c r="R144" s="23">
        <f t="shared" si="20"/>
        <v>1</v>
      </c>
      <c r="S144" s="23" t="s">
        <v>31</v>
      </c>
      <c r="T144" s="22" t="s">
        <v>342</v>
      </c>
      <c r="U144" s="23">
        <f t="shared" si="21"/>
        <v>1</v>
      </c>
      <c r="V144" s="22">
        <v>7</v>
      </c>
      <c r="W144" s="23">
        <f t="shared" si="22"/>
        <v>140</v>
      </c>
      <c r="X144" s="23">
        <v>7</v>
      </c>
      <c r="Y144" s="38">
        <f>Data!I288</f>
        <v>86400</v>
      </c>
      <c r="Z144" s="22" t="s">
        <v>64</v>
      </c>
      <c r="AA144" s="23">
        <f>60*60*24*7</f>
        <v>604800</v>
      </c>
      <c r="AB144" s="23" t="str">
        <f t="shared" si="23"/>
        <v>3</v>
      </c>
      <c r="AC144" s="19">
        <f>AVERAGE(Data!I288:BN288)</f>
        <v>345600</v>
      </c>
      <c r="AD144" s="23" t="str">
        <f t="shared" si="24"/>
        <v>3</v>
      </c>
      <c r="AE144" s="38">
        <f t="shared" si="25"/>
        <v>518400</v>
      </c>
      <c r="AF144" s="41">
        <f>Data!I289</f>
        <v>0.6428571428571429</v>
      </c>
      <c r="AG144" s="19">
        <f>((Data!J289-Data!I289)+(Data!K289-Data!J289)+(Data!L289-Data!K289)+(Data!M289-Data!L289)+(Data!N289-Data!M289)+(Data!O289-Data!N289))/6</f>
        <v>-4.3869516310461203E-2</v>
      </c>
    </row>
    <row r="145" spans="1:118" s="3" customFormat="1" ht="12" customHeight="1" x14ac:dyDescent="0.2">
      <c r="A145" s="27">
        <v>44006</v>
      </c>
      <c r="B145" s="1" t="s">
        <v>525</v>
      </c>
      <c r="C145" s="1" t="s">
        <v>526</v>
      </c>
      <c r="D145" s="23">
        <v>1982</v>
      </c>
      <c r="E145" s="38">
        <v>1</v>
      </c>
      <c r="F145" s="23">
        <v>1</v>
      </c>
      <c r="G145" s="23">
        <v>1</v>
      </c>
      <c r="H145" s="23" t="s">
        <v>527</v>
      </c>
      <c r="I145" s="23"/>
      <c r="J145" s="23" t="s">
        <v>375</v>
      </c>
      <c r="K145" s="23">
        <f t="shared" si="18"/>
        <v>44</v>
      </c>
      <c r="L145" s="23">
        <f t="shared" ref="L145:L176" si="26">IF(J145="syllables",1,IF(J145="trigrams",1,IF(J145="strings",1,IF(J145="visual array",1,IF(J145="characters",1,IF(J145="letters",1,IF(J145="free forms",1,IF(J145="odors",2,IF(J145="words",2,IF(J145="pictures",2,IF(J145="object pictures",2,IF(J145="faces",2,IF(J145="names",2,IF(J145="idioms","2",IF(J145="grades",2,IF(J145="syllable-digit pairs",3,IF(J145="trigram-word pairs",3,IF(J145="word-digit pairs",3,IF(J145="English-Swahili pairs",3,IF(J145="spatial position",3,IF(J145="word pairs",4,IF(J145="word triads",4,IF(J145="generated words",4,IF(J145="word definition pairs",4,IF(J145="math problems",4,IF(J145="famous faces",4,IF(J145="famous names",4,IF(J145="famous voices",4,IF(J145="television programs",4,IF(J145="race horses",4,IF(J145="new vocabulary",4,IF(J145="sentences",5,IF(J145="concepts",5,IF(J145="ad slides",5,IF(J145="scenes",5,IF(J145="famous scenes",5,IF(J145="poems",6,IF(J145="walk",6,IF(J145="faces and events",6,IF(J145="events and names",6,IF(J145="flashbulb",7,IF(J145="stories",7,IF(J145="course material",7,IF(J145="autobiographical",7,IF(J145="novels",7,IF(J145="public events",7,"99"))))))))))))))))))))))))))))))))))))))))))))))</f>
        <v>7</v>
      </c>
      <c r="M145" s="23">
        <v>0</v>
      </c>
      <c r="N145" s="23">
        <v>3</v>
      </c>
      <c r="O145" s="23">
        <v>0</v>
      </c>
      <c r="P145" s="23"/>
      <c r="Q145" s="69" t="s">
        <v>45</v>
      </c>
      <c r="R145" s="23">
        <f t="shared" si="20"/>
        <v>2</v>
      </c>
      <c r="S145" s="23" t="s">
        <v>31</v>
      </c>
      <c r="T145" s="22" t="s">
        <v>342</v>
      </c>
      <c r="U145" s="23">
        <f t="shared" si="21"/>
        <v>1</v>
      </c>
      <c r="V145" s="22">
        <v>11000</v>
      </c>
      <c r="W145" s="23">
        <f t="shared" si="22"/>
        <v>11000</v>
      </c>
      <c r="X145" s="23">
        <v>12</v>
      </c>
      <c r="Y145" s="38">
        <f>Data!I290</f>
        <v>15768000</v>
      </c>
      <c r="Z145" s="23" t="s">
        <v>528</v>
      </c>
      <c r="AA145" s="23">
        <f>60*60*24*365</f>
        <v>31536000</v>
      </c>
      <c r="AB145" s="23" t="str">
        <f t="shared" si="23"/>
        <v>4</v>
      </c>
      <c r="AC145" s="19">
        <f>AVERAGE(Data!I290:BN290)</f>
        <v>102492000</v>
      </c>
      <c r="AD145" s="23" t="str">
        <f t="shared" si="24"/>
        <v>4</v>
      </c>
      <c r="AE145" s="38">
        <f t="shared" si="25"/>
        <v>15768000</v>
      </c>
      <c r="AF145" s="41">
        <f>Data!I291</f>
        <v>0.98149023100904287</v>
      </c>
      <c r="AG145" s="19">
        <f>((Data!J291-Data!I291)+(Data!K291-Data!J291))/2</f>
        <v>-2.1030439749820884E-2</v>
      </c>
      <c r="DN145" s="4"/>
    </row>
    <row r="146" spans="1:118" s="3" customFormat="1" ht="12" customHeight="1" x14ac:dyDescent="0.2">
      <c r="A146" s="27">
        <v>44041</v>
      </c>
      <c r="B146" s="1" t="s">
        <v>530</v>
      </c>
      <c r="C146" s="1" t="s">
        <v>256</v>
      </c>
      <c r="D146" s="23">
        <v>1978</v>
      </c>
      <c r="E146" s="38">
        <v>3</v>
      </c>
      <c r="F146" s="23">
        <v>648</v>
      </c>
      <c r="G146" s="23">
        <v>144</v>
      </c>
      <c r="H146" s="23" t="s">
        <v>25</v>
      </c>
      <c r="I146" s="23" t="s">
        <v>532</v>
      </c>
      <c r="J146" s="23" t="s">
        <v>186</v>
      </c>
      <c r="K146" s="23">
        <f t="shared" si="18"/>
        <v>10</v>
      </c>
      <c r="L146" s="23">
        <f t="shared" si="26"/>
        <v>2</v>
      </c>
      <c r="M146" s="23">
        <v>0</v>
      </c>
      <c r="N146" s="23">
        <v>3</v>
      </c>
      <c r="O146" s="23">
        <v>0</v>
      </c>
      <c r="P146" s="23"/>
      <c r="Q146" s="69" t="s">
        <v>111</v>
      </c>
      <c r="R146" s="23">
        <f t="shared" si="20"/>
        <v>4</v>
      </c>
      <c r="S146" s="23" t="s">
        <v>11</v>
      </c>
      <c r="T146" s="22" t="s">
        <v>163</v>
      </c>
      <c r="U146" s="23">
        <f t="shared" si="21"/>
        <v>0</v>
      </c>
      <c r="V146" s="22">
        <v>1</v>
      </c>
      <c r="W146" s="23">
        <f t="shared" si="22"/>
        <v>648</v>
      </c>
      <c r="X146" s="23">
        <v>5</v>
      </c>
      <c r="Y146" s="38">
        <f>Data!I292</f>
        <v>120</v>
      </c>
      <c r="Z146" s="23" t="s">
        <v>89</v>
      </c>
      <c r="AA146" s="23">
        <f>60*60*24*7</f>
        <v>604800</v>
      </c>
      <c r="AB146" s="23" t="str">
        <f t="shared" si="23"/>
        <v>3</v>
      </c>
      <c r="AC146" s="19">
        <f>AVERAGE(Data!I292:BN292)</f>
        <v>173064</v>
      </c>
      <c r="AD146" s="23" t="str">
        <f t="shared" si="24"/>
        <v>3</v>
      </c>
      <c r="AE146" s="38">
        <f t="shared" si="25"/>
        <v>604680</v>
      </c>
      <c r="AF146" s="41">
        <f>Data!I293</f>
        <v>0.87390981361031195</v>
      </c>
      <c r="AG146" s="19">
        <f>((Data!J293-Data!I293)+(Data!K293-Data!J293)+(Data!L293-Data!K293)+(Data!M293-Data!L293))/4</f>
        <v>-9.4292677187851739E-2</v>
      </c>
    </row>
    <row r="147" spans="1:118" s="3" customFormat="1" ht="12" customHeight="1" x14ac:dyDescent="0.2">
      <c r="A147" s="27">
        <v>44041</v>
      </c>
      <c r="B147" s="1" t="s">
        <v>530</v>
      </c>
      <c r="C147" s="1" t="s">
        <v>256</v>
      </c>
      <c r="D147" s="23">
        <v>1978</v>
      </c>
      <c r="E147" s="38">
        <v>3</v>
      </c>
      <c r="F147" s="23">
        <v>648</v>
      </c>
      <c r="G147" s="23">
        <v>144</v>
      </c>
      <c r="H147" s="23" t="s">
        <v>25</v>
      </c>
      <c r="I147" s="23" t="s">
        <v>534</v>
      </c>
      <c r="J147" s="23" t="s">
        <v>186</v>
      </c>
      <c r="K147" s="23">
        <f t="shared" si="18"/>
        <v>10</v>
      </c>
      <c r="L147" s="23">
        <f t="shared" si="26"/>
        <v>2</v>
      </c>
      <c r="M147" s="23">
        <v>1</v>
      </c>
      <c r="N147" s="23">
        <v>3</v>
      </c>
      <c r="O147" s="23">
        <v>0</v>
      </c>
      <c r="P147" s="23"/>
      <c r="Q147" s="69" t="s">
        <v>111</v>
      </c>
      <c r="R147" s="23">
        <f t="shared" si="20"/>
        <v>4</v>
      </c>
      <c r="S147" s="23" t="s">
        <v>11</v>
      </c>
      <c r="T147" s="22" t="s">
        <v>163</v>
      </c>
      <c r="U147" s="23">
        <f t="shared" si="21"/>
        <v>0</v>
      </c>
      <c r="V147" s="22">
        <v>1</v>
      </c>
      <c r="W147" s="23">
        <f t="shared" si="22"/>
        <v>648</v>
      </c>
      <c r="X147" s="23">
        <v>5</v>
      </c>
      <c r="Y147" s="38">
        <f>Data!I294</f>
        <v>120</v>
      </c>
      <c r="Z147" s="23" t="s">
        <v>89</v>
      </c>
      <c r="AA147" s="23">
        <f>60*60*24*7</f>
        <v>604800</v>
      </c>
      <c r="AB147" s="23" t="str">
        <f t="shared" si="23"/>
        <v>3</v>
      </c>
      <c r="AC147" s="19">
        <f>AVERAGE(Data!I294:BN294)</f>
        <v>173064</v>
      </c>
      <c r="AD147" s="23" t="str">
        <f t="shared" si="24"/>
        <v>3</v>
      </c>
      <c r="AE147" s="38">
        <f t="shared" si="25"/>
        <v>604680</v>
      </c>
      <c r="AF147" s="41">
        <f>Data!I295</f>
        <v>0.834680919007042</v>
      </c>
      <c r="AG147" s="19">
        <f>((Data!J295-Data!I295)+(Data!K295-Data!J295)+(Data!L295-Data!K295)+(Data!M295-Data!L295))/4</f>
        <v>-5.2437519958318746E-2</v>
      </c>
    </row>
    <row r="148" spans="1:118" s="3" customFormat="1" ht="12" customHeight="1" x14ac:dyDescent="0.2">
      <c r="A148" s="27">
        <v>44041</v>
      </c>
      <c r="B148" s="1" t="s">
        <v>530</v>
      </c>
      <c r="C148" s="1" t="s">
        <v>256</v>
      </c>
      <c r="D148" s="23">
        <v>1978</v>
      </c>
      <c r="E148" s="38">
        <v>3</v>
      </c>
      <c r="F148" s="23">
        <v>648</v>
      </c>
      <c r="G148" s="23">
        <v>144</v>
      </c>
      <c r="H148" s="23" t="s">
        <v>25</v>
      </c>
      <c r="I148" s="23" t="s">
        <v>537</v>
      </c>
      <c r="J148" s="23" t="s">
        <v>186</v>
      </c>
      <c r="K148" s="23">
        <f t="shared" si="18"/>
        <v>10</v>
      </c>
      <c r="L148" s="23">
        <f t="shared" si="26"/>
        <v>2</v>
      </c>
      <c r="M148" s="23">
        <v>0</v>
      </c>
      <c r="N148" s="23">
        <v>3</v>
      </c>
      <c r="O148" s="23">
        <v>0</v>
      </c>
      <c r="P148" s="23"/>
      <c r="Q148" s="69" t="s">
        <v>111</v>
      </c>
      <c r="R148" s="23">
        <f t="shared" si="20"/>
        <v>4</v>
      </c>
      <c r="S148" s="23" t="s">
        <v>11</v>
      </c>
      <c r="T148" s="22" t="s">
        <v>163</v>
      </c>
      <c r="U148" s="23">
        <f t="shared" si="21"/>
        <v>0</v>
      </c>
      <c r="V148" s="22">
        <v>1</v>
      </c>
      <c r="W148" s="23">
        <f t="shared" si="22"/>
        <v>648</v>
      </c>
      <c r="X148" s="23">
        <v>5</v>
      </c>
      <c r="Y148" s="38">
        <f>Data!I296</f>
        <v>120</v>
      </c>
      <c r="Z148" s="23" t="s">
        <v>89</v>
      </c>
      <c r="AA148" s="23">
        <f>60*60*24*7</f>
        <v>604800</v>
      </c>
      <c r="AB148" s="23" t="str">
        <f t="shared" si="23"/>
        <v>3</v>
      </c>
      <c r="AC148" s="19">
        <f>AVERAGE(Data!I296:BN296)</f>
        <v>173064</v>
      </c>
      <c r="AD148" s="23" t="str">
        <f t="shared" si="24"/>
        <v>3</v>
      </c>
      <c r="AE148" s="38">
        <f t="shared" si="25"/>
        <v>604680</v>
      </c>
      <c r="AF148" s="41">
        <f>Data!I297</f>
        <v>0.87648221249948899</v>
      </c>
      <c r="AG148" s="19">
        <f>((Data!J297-Data!I297)+(Data!K297-Data!J297)+(Data!L297-Data!K297)+(Data!M297-Data!L297))/4</f>
        <v>-9.2014421244435984E-2</v>
      </c>
    </row>
    <row r="149" spans="1:118" s="3" customFormat="1" ht="12" customHeight="1" x14ac:dyDescent="0.2">
      <c r="A149" s="27">
        <v>44041</v>
      </c>
      <c r="B149" s="1" t="s">
        <v>530</v>
      </c>
      <c r="C149" s="1" t="s">
        <v>256</v>
      </c>
      <c r="D149" s="23">
        <v>1978</v>
      </c>
      <c r="E149" s="38">
        <v>3</v>
      </c>
      <c r="F149" s="23">
        <v>648</v>
      </c>
      <c r="G149" s="23">
        <v>144</v>
      </c>
      <c r="H149" s="23" t="s">
        <v>25</v>
      </c>
      <c r="I149" s="23" t="s">
        <v>538</v>
      </c>
      <c r="J149" s="23" t="s">
        <v>186</v>
      </c>
      <c r="K149" s="23">
        <f t="shared" si="18"/>
        <v>10</v>
      </c>
      <c r="L149" s="23">
        <f t="shared" si="26"/>
        <v>2</v>
      </c>
      <c r="M149" s="23">
        <v>1</v>
      </c>
      <c r="N149" s="23">
        <v>3</v>
      </c>
      <c r="O149" s="23">
        <v>0</v>
      </c>
      <c r="P149" s="23"/>
      <c r="Q149" s="69" t="s">
        <v>111</v>
      </c>
      <c r="R149" s="23">
        <f t="shared" si="20"/>
        <v>4</v>
      </c>
      <c r="S149" s="23" t="s">
        <v>11</v>
      </c>
      <c r="T149" s="22" t="s">
        <v>163</v>
      </c>
      <c r="U149" s="23">
        <f t="shared" si="21"/>
        <v>0</v>
      </c>
      <c r="V149" s="22">
        <v>1</v>
      </c>
      <c r="W149" s="23">
        <f t="shared" si="22"/>
        <v>648</v>
      </c>
      <c r="X149" s="23">
        <v>5</v>
      </c>
      <c r="Y149" s="38">
        <f>Data!I298</f>
        <v>120</v>
      </c>
      <c r="Z149" s="23" t="s">
        <v>89</v>
      </c>
      <c r="AA149" s="23">
        <f>60*60*24*7</f>
        <v>604800</v>
      </c>
      <c r="AB149" s="23" t="str">
        <f t="shared" si="23"/>
        <v>3</v>
      </c>
      <c r="AC149" s="19">
        <f>AVERAGE(Data!I298:BN298)</f>
        <v>173064</v>
      </c>
      <c r="AD149" s="23" t="str">
        <f t="shared" si="24"/>
        <v>3</v>
      </c>
      <c r="AE149" s="38">
        <f t="shared" si="25"/>
        <v>604680</v>
      </c>
      <c r="AF149" s="41">
        <f>Data!I299</f>
        <v>0.82999660665418895</v>
      </c>
      <c r="AG149" s="19">
        <f>((Data!J299-Data!I299)+(Data!K299-Data!J299)+(Data!L299-Data!K299)+(Data!M299-Data!L299))/4</f>
        <v>-3.9530862812827E-2</v>
      </c>
    </row>
    <row r="150" spans="1:118" s="3" customFormat="1" ht="12" customHeight="1" x14ac:dyDescent="0.2">
      <c r="A150" s="27">
        <v>43978</v>
      </c>
      <c r="B150" s="32" t="s">
        <v>508</v>
      </c>
      <c r="C150" s="32" t="s">
        <v>509</v>
      </c>
      <c r="D150" s="31">
        <v>1998</v>
      </c>
      <c r="E150" s="44">
        <v>1</v>
      </c>
      <c r="F150" s="31">
        <v>2</v>
      </c>
      <c r="G150" s="31">
        <v>2</v>
      </c>
      <c r="H150" s="31" t="s">
        <v>25</v>
      </c>
      <c r="I150" s="31" t="s">
        <v>197</v>
      </c>
      <c r="J150" s="31" t="s">
        <v>397</v>
      </c>
      <c r="K150" s="31">
        <f t="shared" si="18"/>
        <v>42</v>
      </c>
      <c r="L150" s="31">
        <f t="shared" si="26"/>
        <v>7</v>
      </c>
      <c r="M150" s="31">
        <v>1</v>
      </c>
      <c r="N150" s="31">
        <v>4</v>
      </c>
      <c r="O150" s="31">
        <v>0</v>
      </c>
      <c r="P150" s="31"/>
      <c r="Q150" s="66" t="s">
        <v>106</v>
      </c>
      <c r="R150" s="31">
        <f t="shared" si="20"/>
        <v>1</v>
      </c>
      <c r="S150" s="31" t="s">
        <v>31</v>
      </c>
      <c r="T150" s="46" t="s">
        <v>342</v>
      </c>
      <c r="U150" s="31">
        <f t="shared" si="21"/>
        <v>1</v>
      </c>
      <c r="V150" s="46">
        <v>8</v>
      </c>
      <c r="W150" s="31">
        <f t="shared" si="22"/>
        <v>16</v>
      </c>
      <c r="X150" s="31">
        <v>6</v>
      </c>
      <c r="Y150" s="44">
        <f>Data!I300</f>
        <v>30</v>
      </c>
      <c r="Z150" s="31" t="s">
        <v>510</v>
      </c>
      <c r="AA150" s="44">
        <f>60*60*24*41</f>
        <v>3542400</v>
      </c>
      <c r="AB150" s="31" t="str">
        <f t="shared" si="23"/>
        <v>4</v>
      </c>
      <c r="AC150" s="34">
        <f>AVERAGE(Data!I300:BN300)</f>
        <v>706505</v>
      </c>
      <c r="AD150" s="31" t="str">
        <f t="shared" si="24"/>
        <v>3</v>
      </c>
      <c r="AE150" s="44">
        <f t="shared" si="25"/>
        <v>3542370</v>
      </c>
      <c r="AF150" s="45">
        <f>Data!I301</f>
        <v>0.70500000000000007</v>
      </c>
      <c r="AG150" s="34">
        <f>((Data!J301-Data!I301)+(Data!K301-Data!J301)+(Data!L301-Data!K301)+(Data!M301-Data!L301)+(Data!N301-Data!M301))/5</f>
        <v>-2.0999999999999998E-2</v>
      </c>
    </row>
    <row r="151" spans="1:118" s="3" customFormat="1" ht="12" customHeight="1" x14ac:dyDescent="0.2">
      <c r="A151" s="27">
        <v>43978</v>
      </c>
      <c r="B151" s="32" t="s">
        <v>508</v>
      </c>
      <c r="C151" s="32" t="s">
        <v>509</v>
      </c>
      <c r="D151" s="31">
        <v>1998</v>
      </c>
      <c r="E151" s="44">
        <v>1</v>
      </c>
      <c r="F151" s="31">
        <v>2</v>
      </c>
      <c r="G151" s="31">
        <v>2</v>
      </c>
      <c r="H151" s="31" t="s">
        <v>25</v>
      </c>
      <c r="I151" s="31" t="s">
        <v>197</v>
      </c>
      <c r="J151" s="31" t="s">
        <v>187</v>
      </c>
      <c r="K151" s="31">
        <f t="shared" si="18"/>
        <v>7</v>
      </c>
      <c r="L151" s="31">
        <f t="shared" si="26"/>
        <v>1</v>
      </c>
      <c r="M151" s="31">
        <v>1</v>
      </c>
      <c r="N151" s="31">
        <v>2</v>
      </c>
      <c r="O151" s="31">
        <v>0</v>
      </c>
      <c r="P151" s="31"/>
      <c r="Q151" s="66" t="s">
        <v>106</v>
      </c>
      <c r="R151" s="31">
        <f t="shared" si="20"/>
        <v>1</v>
      </c>
      <c r="S151" s="31" t="s">
        <v>31</v>
      </c>
      <c r="T151" s="46" t="s">
        <v>342</v>
      </c>
      <c r="U151" s="31">
        <f t="shared" si="21"/>
        <v>1</v>
      </c>
      <c r="V151" s="46">
        <v>8</v>
      </c>
      <c r="W151" s="31">
        <f t="shared" si="22"/>
        <v>16</v>
      </c>
      <c r="X151" s="31">
        <v>6</v>
      </c>
      <c r="Y151" s="44">
        <f>Data!I302</f>
        <v>30</v>
      </c>
      <c r="Z151" s="31" t="s">
        <v>510</v>
      </c>
      <c r="AA151" s="44">
        <f>60*60*24*41</f>
        <v>3542400</v>
      </c>
      <c r="AB151" s="31" t="str">
        <f t="shared" si="23"/>
        <v>4</v>
      </c>
      <c r="AC151" s="34">
        <f>AVERAGE(Data!I302:BN302)</f>
        <v>706505</v>
      </c>
      <c r="AD151" s="31" t="str">
        <f t="shared" si="24"/>
        <v>3</v>
      </c>
      <c r="AE151" s="44">
        <f t="shared" si="25"/>
        <v>3542370</v>
      </c>
      <c r="AF151" s="45">
        <f>Data!I303</f>
        <v>0.99</v>
      </c>
      <c r="AG151" s="34">
        <f>((Data!J303-Data!I303)+(Data!K303-Data!J303)+(Data!L303-Data!K303)+(Data!M303-Data!L303)+(Data!N303-Data!M303))/5</f>
        <v>-0.16599999999999998</v>
      </c>
    </row>
    <row r="152" spans="1:118" s="3" customFormat="1" ht="12" customHeight="1" x14ac:dyDescent="0.2">
      <c r="A152" s="27">
        <v>43912</v>
      </c>
      <c r="B152" s="1" t="s">
        <v>75</v>
      </c>
      <c r="C152" s="1" t="s">
        <v>76</v>
      </c>
      <c r="D152" s="23">
        <v>1922</v>
      </c>
      <c r="E152" s="38">
        <v>3</v>
      </c>
      <c r="F152" s="23">
        <v>20</v>
      </c>
      <c r="G152" s="23">
        <v>20</v>
      </c>
      <c r="H152" s="23" t="s">
        <v>427</v>
      </c>
      <c r="I152" s="36">
        <v>1.5</v>
      </c>
      <c r="J152" s="23" t="s">
        <v>174</v>
      </c>
      <c r="K152" s="23">
        <f t="shared" si="18"/>
        <v>1</v>
      </c>
      <c r="L152" s="23">
        <f t="shared" si="26"/>
        <v>1</v>
      </c>
      <c r="M152" s="23">
        <v>1</v>
      </c>
      <c r="N152" s="23">
        <v>2</v>
      </c>
      <c r="O152" s="23">
        <v>0</v>
      </c>
      <c r="P152" s="23"/>
      <c r="Q152" s="23" t="s">
        <v>106</v>
      </c>
      <c r="R152" s="23">
        <f t="shared" si="20"/>
        <v>1</v>
      </c>
      <c r="S152" s="23" t="s">
        <v>31</v>
      </c>
      <c r="T152" s="22" t="s">
        <v>342</v>
      </c>
      <c r="U152" s="23">
        <f t="shared" si="21"/>
        <v>1</v>
      </c>
      <c r="V152" s="22">
        <v>12</v>
      </c>
      <c r="W152" s="23">
        <f t="shared" si="22"/>
        <v>240</v>
      </c>
      <c r="X152" s="23">
        <v>7</v>
      </c>
      <c r="Y152" s="38">
        <f>Data!I308</f>
        <v>7200</v>
      </c>
      <c r="Z152" s="23" t="s">
        <v>60</v>
      </c>
      <c r="AA152" s="23">
        <v>172800</v>
      </c>
      <c r="AB152" s="23" t="str">
        <f t="shared" si="23"/>
        <v>3</v>
      </c>
      <c r="AC152" s="19">
        <f>AVERAGE(Data!I308:BN308)</f>
        <v>50914.285714285717</v>
      </c>
      <c r="AD152" s="23" t="str">
        <f t="shared" si="24"/>
        <v>3</v>
      </c>
      <c r="AE152" s="38">
        <f t="shared" si="25"/>
        <v>165600</v>
      </c>
      <c r="AF152" s="41">
        <f>Data!I309</f>
        <v>0.88</v>
      </c>
      <c r="AG152" s="19">
        <f>((Data!J309-Data!I309)+(Data!K309-Data!J309)+(Data!L309-Data!K309)+(Data!M309-Data!L309)+(Data!N309-Data!M309)+(Data!O309-Data!N309))/6</f>
        <v>-9.5000000000000015E-2</v>
      </c>
    </row>
    <row r="153" spans="1:118" s="3" customFormat="1" ht="12" customHeight="1" x14ac:dyDescent="0.2">
      <c r="A153" s="27">
        <v>43912</v>
      </c>
      <c r="B153" s="1" t="s">
        <v>75</v>
      </c>
      <c r="C153" s="1" t="s">
        <v>76</v>
      </c>
      <c r="D153" s="23">
        <v>1922</v>
      </c>
      <c r="E153" s="38">
        <v>3</v>
      </c>
      <c r="F153" s="23">
        <v>20</v>
      </c>
      <c r="G153" s="23">
        <v>20</v>
      </c>
      <c r="H153" s="23" t="s">
        <v>427</v>
      </c>
      <c r="I153" s="36">
        <v>0.33</v>
      </c>
      <c r="J153" s="23" t="s">
        <v>174</v>
      </c>
      <c r="K153" s="23">
        <f t="shared" si="18"/>
        <v>1</v>
      </c>
      <c r="L153" s="23">
        <f t="shared" si="26"/>
        <v>1</v>
      </c>
      <c r="M153" s="23">
        <v>1</v>
      </c>
      <c r="N153" s="23">
        <v>2</v>
      </c>
      <c r="O153" s="23">
        <v>0</v>
      </c>
      <c r="P153" s="23"/>
      <c r="Q153" s="23" t="s">
        <v>106</v>
      </c>
      <c r="R153" s="23">
        <f t="shared" si="20"/>
        <v>1</v>
      </c>
      <c r="S153" s="23" t="s">
        <v>31</v>
      </c>
      <c r="T153" s="22" t="s">
        <v>342</v>
      </c>
      <c r="U153" s="23">
        <f t="shared" si="21"/>
        <v>1</v>
      </c>
      <c r="V153" s="22">
        <v>12</v>
      </c>
      <c r="W153" s="23">
        <f t="shared" si="22"/>
        <v>240</v>
      </c>
      <c r="X153" s="23">
        <v>7</v>
      </c>
      <c r="Y153" s="38">
        <f>Data!I314</f>
        <v>1200</v>
      </c>
      <c r="Z153" s="23" t="s">
        <v>60</v>
      </c>
      <c r="AA153" s="23">
        <v>172800</v>
      </c>
      <c r="AB153" s="23" t="str">
        <f t="shared" si="23"/>
        <v>3</v>
      </c>
      <c r="AC153" s="19">
        <f>AVERAGE(Data!I314:BN314)</f>
        <v>55680</v>
      </c>
      <c r="AD153" s="23" t="str">
        <f t="shared" si="24"/>
        <v>3</v>
      </c>
      <c r="AE153" s="38">
        <f t="shared" si="25"/>
        <v>171600</v>
      </c>
      <c r="AF153" s="41">
        <f>Data!I315</f>
        <v>0.68</v>
      </c>
      <c r="AG153" s="19">
        <f>((Data!J315-Data!I315)+(Data!K315-Data!J315)+(Data!L315-Data!K315)+(Data!M315-Data!L315))/4</f>
        <v>-0.13500000000000001</v>
      </c>
    </row>
    <row r="154" spans="1:118" s="3" customFormat="1" ht="12" customHeight="1" x14ac:dyDescent="0.2">
      <c r="A154" s="27">
        <v>43912</v>
      </c>
      <c r="B154" s="1" t="s">
        <v>75</v>
      </c>
      <c r="C154" s="1" t="s">
        <v>76</v>
      </c>
      <c r="D154" s="23">
        <v>1922</v>
      </c>
      <c r="E154" s="38">
        <v>3</v>
      </c>
      <c r="F154" s="23">
        <v>20</v>
      </c>
      <c r="G154" s="23">
        <v>20</v>
      </c>
      <c r="H154" s="23" t="s">
        <v>427</v>
      </c>
      <c r="I154" s="36">
        <v>0.67</v>
      </c>
      <c r="J154" s="23" t="s">
        <v>174</v>
      </c>
      <c r="K154" s="23">
        <f t="shared" si="18"/>
        <v>1</v>
      </c>
      <c r="L154" s="23">
        <f t="shared" si="26"/>
        <v>1</v>
      </c>
      <c r="M154" s="23">
        <v>1</v>
      </c>
      <c r="N154" s="23">
        <v>2</v>
      </c>
      <c r="O154" s="23">
        <v>0</v>
      </c>
      <c r="P154" s="23"/>
      <c r="Q154" s="23" t="s">
        <v>111</v>
      </c>
      <c r="R154" s="23">
        <f t="shared" si="20"/>
        <v>4</v>
      </c>
      <c r="S154" s="22" t="s">
        <v>11</v>
      </c>
      <c r="T154" s="22" t="s">
        <v>342</v>
      </c>
      <c r="U154" s="23">
        <f t="shared" si="21"/>
        <v>1</v>
      </c>
      <c r="V154" s="22">
        <v>12</v>
      </c>
      <c r="W154" s="23">
        <f t="shared" si="22"/>
        <v>240</v>
      </c>
      <c r="X154" s="23">
        <v>7</v>
      </c>
      <c r="Y154" s="38">
        <f>Data!I320</f>
        <v>1200</v>
      </c>
      <c r="Z154" s="23" t="s">
        <v>60</v>
      </c>
      <c r="AA154" s="23">
        <v>172800</v>
      </c>
      <c r="AB154" s="23" t="str">
        <f t="shared" si="23"/>
        <v>3</v>
      </c>
      <c r="AC154" s="19">
        <f>AVERAGE(Data!I320:BN320)</f>
        <v>55680</v>
      </c>
      <c r="AD154" s="23" t="str">
        <f t="shared" si="24"/>
        <v>3</v>
      </c>
      <c r="AE154" s="38">
        <f t="shared" si="25"/>
        <v>171600</v>
      </c>
      <c r="AF154" s="41">
        <f>Data!I321</f>
        <v>0.93</v>
      </c>
      <c r="AG154" s="19">
        <f>((Data!J321-Data!I321)+(Data!K321-Data!J321)+(Data!L321-Data!K321)+(Data!M321-Data!L321))/4</f>
        <v>-7.7500000000000013E-2</v>
      </c>
    </row>
    <row r="155" spans="1:118" s="3" customFormat="1" ht="12" customHeight="1" x14ac:dyDescent="0.2">
      <c r="A155" s="27">
        <v>43509</v>
      </c>
      <c r="B155" s="1" t="s">
        <v>75</v>
      </c>
      <c r="C155" s="1" t="s">
        <v>76</v>
      </c>
      <c r="D155" s="23">
        <v>1922</v>
      </c>
      <c r="E155" s="38">
        <v>2</v>
      </c>
      <c r="F155" s="23">
        <v>20</v>
      </c>
      <c r="G155" s="23">
        <v>20</v>
      </c>
      <c r="H155" s="23" t="s">
        <v>426</v>
      </c>
      <c r="I155" s="23"/>
      <c r="J155" s="23" t="s">
        <v>174</v>
      </c>
      <c r="K155" s="23">
        <f t="shared" si="18"/>
        <v>1</v>
      </c>
      <c r="L155" s="23">
        <f t="shared" si="26"/>
        <v>1</v>
      </c>
      <c r="M155" s="23">
        <v>1</v>
      </c>
      <c r="N155" s="23">
        <v>2</v>
      </c>
      <c r="O155" s="23">
        <v>0</v>
      </c>
      <c r="P155" s="23"/>
      <c r="Q155" s="23" t="s">
        <v>106</v>
      </c>
      <c r="R155" s="23">
        <f t="shared" si="20"/>
        <v>1</v>
      </c>
      <c r="S155" s="23" t="s">
        <v>31</v>
      </c>
      <c r="T155" s="22" t="s">
        <v>342</v>
      </c>
      <c r="U155" s="23">
        <f t="shared" si="21"/>
        <v>1</v>
      </c>
      <c r="V155" s="22">
        <v>12</v>
      </c>
      <c r="W155" s="23">
        <f t="shared" si="22"/>
        <v>240</v>
      </c>
      <c r="X155" s="23">
        <v>5</v>
      </c>
      <c r="Y155" s="38">
        <f>Data!I304</f>
        <v>1200</v>
      </c>
      <c r="Z155" s="23" t="s">
        <v>60</v>
      </c>
      <c r="AA155" s="23">
        <v>172800</v>
      </c>
      <c r="AB155" s="23" t="str">
        <f t="shared" si="23"/>
        <v>3</v>
      </c>
      <c r="AC155" s="19">
        <f>AVERAGE(Data!I304:BN304)</f>
        <v>55680</v>
      </c>
      <c r="AD155" s="23" t="str">
        <f t="shared" si="24"/>
        <v>3</v>
      </c>
      <c r="AE155" s="38">
        <f t="shared" si="25"/>
        <v>171600</v>
      </c>
      <c r="AF155" s="41">
        <f>Data!I305</f>
        <v>0.97799999999999998</v>
      </c>
      <c r="AG155" s="19">
        <f>((Data!J305-Data!I305)+(Data!K305-Data!J305)+(Data!L305-Data!K305)+(Data!M305-Data!L305))/4</f>
        <v>-6.5750000000000003E-2</v>
      </c>
    </row>
    <row r="156" spans="1:118" s="3" customFormat="1" ht="12" customHeight="1" x14ac:dyDescent="0.2">
      <c r="A156" s="27">
        <v>43509</v>
      </c>
      <c r="B156" s="1" t="s">
        <v>75</v>
      </c>
      <c r="C156" s="1" t="s">
        <v>76</v>
      </c>
      <c r="D156" s="23">
        <v>1922</v>
      </c>
      <c r="E156" s="38">
        <v>2</v>
      </c>
      <c r="F156" s="23">
        <v>20</v>
      </c>
      <c r="G156" s="23">
        <v>20</v>
      </c>
      <c r="H156" s="23" t="s">
        <v>426</v>
      </c>
      <c r="I156" s="23"/>
      <c r="J156" s="23" t="s">
        <v>174</v>
      </c>
      <c r="K156" s="23">
        <f t="shared" si="18"/>
        <v>1</v>
      </c>
      <c r="L156" s="23">
        <f t="shared" si="26"/>
        <v>1</v>
      </c>
      <c r="M156" s="23">
        <v>1</v>
      </c>
      <c r="N156" s="23">
        <v>2</v>
      </c>
      <c r="O156" s="23">
        <v>0</v>
      </c>
      <c r="P156" s="23"/>
      <c r="Q156" s="23" t="s">
        <v>111</v>
      </c>
      <c r="R156" s="23">
        <f t="shared" si="20"/>
        <v>4</v>
      </c>
      <c r="S156" s="22" t="s">
        <v>11</v>
      </c>
      <c r="T156" s="22" t="s">
        <v>342</v>
      </c>
      <c r="U156" s="23">
        <f t="shared" si="21"/>
        <v>1</v>
      </c>
      <c r="V156" s="22">
        <v>12</v>
      </c>
      <c r="W156" s="23">
        <f t="shared" si="22"/>
        <v>240</v>
      </c>
      <c r="X156" s="23">
        <v>5</v>
      </c>
      <c r="Y156" s="38">
        <f>Data!I306</f>
        <v>1200</v>
      </c>
      <c r="Z156" s="23" t="s">
        <v>60</v>
      </c>
      <c r="AA156" s="23">
        <v>172800</v>
      </c>
      <c r="AB156" s="23" t="str">
        <f t="shared" si="23"/>
        <v>3</v>
      </c>
      <c r="AC156" s="19">
        <f>AVERAGE(Data!I306:BN306)</f>
        <v>55680</v>
      </c>
      <c r="AD156" s="23" t="str">
        <f t="shared" si="24"/>
        <v>3</v>
      </c>
      <c r="AE156" s="38">
        <f t="shared" si="25"/>
        <v>171600</v>
      </c>
      <c r="AF156" s="41">
        <f>Data!I307</f>
        <v>0.91500000000000004</v>
      </c>
      <c r="AG156" s="19">
        <f>((Data!J307-Data!I307)+(Data!K307-Data!J307)+(Data!L307-Data!K307)+(Data!M307-Data!L307))/4</f>
        <v>-0.13225000000000001</v>
      </c>
    </row>
    <row r="157" spans="1:118" s="3" customFormat="1" ht="12" customHeight="1" x14ac:dyDescent="0.2">
      <c r="A157" s="27">
        <v>43912</v>
      </c>
      <c r="B157" s="1" t="s">
        <v>75</v>
      </c>
      <c r="C157" s="1" t="s">
        <v>76</v>
      </c>
      <c r="D157" s="23">
        <v>1922</v>
      </c>
      <c r="E157" s="38">
        <v>3</v>
      </c>
      <c r="F157" s="23">
        <v>20</v>
      </c>
      <c r="G157" s="23">
        <v>20</v>
      </c>
      <c r="H157" s="23" t="s">
        <v>427</v>
      </c>
      <c r="I157" s="36">
        <v>1</v>
      </c>
      <c r="J157" s="23" t="s">
        <v>174</v>
      </c>
      <c r="K157" s="23">
        <f t="shared" si="18"/>
        <v>1</v>
      </c>
      <c r="L157" s="23">
        <f t="shared" si="26"/>
        <v>1</v>
      </c>
      <c r="M157" s="23">
        <v>1</v>
      </c>
      <c r="N157" s="23">
        <v>2</v>
      </c>
      <c r="O157" s="23">
        <v>0</v>
      </c>
      <c r="P157" s="23"/>
      <c r="Q157" s="23" t="s">
        <v>106</v>
      </c>
      <c r="R157" s="23">
        <f t="shared" si="20"/>
        <v>1</v>
      </c>
      <c r="S157" s="23" t="s">
        <v>31</v>
      </c>
      <c r="T157" s="22" t="s">
        <v>342</v>
      </c>
      <c r="U157" s="23">
        <f t="shared" si="21"/>
        <v>1</v>
      </c>
      <c r="V157" s="22">
        <v>12</v>
      </c>
      <c r="W157" s="23">
        <f t="shared" si="22"/>
        <v>240</v>
      </c>
      <c r="X157" s="23">
        <v>5</v>
      </c>
      <c r="Y157" s="38">
        <f>Data!I310</f>
        <v>1200</v>
      </c>
      <c r="Z157" s="23" t="s">
        <v>60</v>
      </c>
      <c r="AA157" s="23">
        <v>172800</v>
      </c>
      <c r="AB157" s="23" t="str">
        <f t="shared" si="23"/>
        <v>3</v>
      </c>
      <c r="AC157" s="19">
        <f>AVERAGE(Data!I310:BN310)</f>
        <v>55680</v>
      </c>
      <c r="AD157" s="23" t="str">
        <f t="shared" si="24"/>
        <v>3</v>
      </c>
      <c r="AE157" s="38">
        <f t="shared" si="25"/>
        <v>171600</v>
      </c>
      <c r="AF157" s="41">
        <f>Data!I311</f>
        <v>0.91</v>
      </c>
      <c r="AG157" s="19">
        <f>((Data!J311-Data!I311)+(Data!K311-Data!J311)+(Data!L311-Data!K311)+(Data!M311-Data!L311))/4</f>
        <v>-0.1275</v>
      </c>
    </row>
    <row r="158" spans="1:118" s="3" customFormat="1" ht="12" customHeight="1" x14ac:dyDescent="0.2">
      <c r="A158" s="27">
        <v>43912</v>
      </c>
      <c r="B158" s="1" t="s">
        <v>75</v>
      </c>
      <c r="C158" s="1" t="s">
        <v>76</v>
      </c>
      <c r="D158" s="23">
        <v>1922</v>
      </c>
      <c r="E158" s="38">
        <v>3</v>
      </c>
      <c r="F158" s="23">
        <v>20</v>
      </c>
      <c r="G158" s="23">
        <v>20</v>
      </c>
      <c r="H158" s="23" t="s">
        <v>427</v>
      </c>
      <c r="I158" s="36">
        <v>0.67</v>
      </c>
      <c r="J158" s="23" t="s">
        <v>174</v>
      </c>
      <c r="K158" s="23">
        <f t="shared" si="18"/>
        <v>1</v>
      </c>
      <c r="L158" s="23">
        <f t="shared" si="26"/>
        <v>1</v>
      </c>
      <c r="M158" s="23">
        <v>1</v>
      </c>
      <c r="N158" s="23">
        <v>2</v>
      </c>
      <c r="O158" s="23">
        <v>0</v>
      </c>
      <c r="P158" s="23"/>
      <c r="Q158" s="23" t="s">
        <v>106</v>
      </c>
      <c r="R158" s="23">
        <f t="shared" si="20"/>
        <v>1</v>
      </c>
      <c r="S158" s="23" t="s">
        <v>31</v>
      </c>
      <c r="T158" s="22" t="s">
        <v>342</v>
      </c>
      <c r="U158" s="23">
        <f t="shared" si="21"/>
        <v>1</v>
      </c>
      <c r="V158" s="22">
        <v>12</v>
      </c>
      <c r="W158" s="23">
        <f t="shared" si="22"/>
        <v>240</v>
      </c>
      <c r="X158" s="23">
        <v>5</v>
      </c>
      <c r="Y158" s="38">
        <f>Data!I312</f>
        <v>1200</v>
      </c>
      <c r="Z158" s="23" t="s">
        <v>60</v>
      </c>
      <c r="AA158" s="23">
        <v>172800</v>
      </c>
      <c r="AB158" s="23" t="str">
        <f t="shared" si="23"/>
        <v>3</v>
      </c>
      <c r="AC158" s="19">
        <f>AVERAGE(Data!I312:BN312)</f>
        <v>55680</v>
      </c>
      <c r="AD158" s="23" t="str">
        <f t="shared" si="24"/>
        <v>3</v>
      </c>
      <c r="AE158" s="38">
        <f t="shared" si="25"/>
        <v>171600</v>
      </c>
      <c r="AF158" s="41">
        <f>Data!I313</f>
        <v>0.85</v>
      </c>
      <c r="AG158" s="19">
        <f>((Data!J313-Data!I313)+(Data!K313-Data!J313)+(Data!L313-Data!K313)+(Data!M313-Data!L313))/4</f>
        <v>-0.15</v>
      </c>
    </row>
    <row r="159" spans="1:118" s="3" customFormat="1" ht="12" customHeight="1" x14ac:dyDescent="0.2">
      <c r="A159" s="27">
        <v>43912</v>
      </c>
      <c r="B159" s="1" t="s">
        <v>75</v>
      </c>
      <c r="C159" s="1" t="s">
        <v>76</v>
      </c>
      <c r="D159" s="23">
        <v>1922</v>
      </c>
      <c r="E159" s="38">
        <v>3</v>
      </c>
      <c r="F159" s="23">
        <v>20</v>
      </c>
      <c r="G159" s="23">
        <v>20</v>
      </c>
      <c r="H159" s="23" t="s">
        <v>427</v>
      </c>
      <c r="I159" s="36">
        <v>1.5</v>
      </c>
      <c r="J159" s="23" t="s">
        <v>174</v>
      </c>
      <c r="K159" s="23">
        <f t="shared" si="18"/>
        <v>1</v>
      </c>
      <c r="L159" s="23">
        <f t="shared" si="26"/>
        <v>1</v>
      </c>
      <c r="M159" s="23">
        <v>1</v>
      </c>
      <c r="N159" s="23">
        <v>2</v>
      </c>
      <c r="O159" s="23">
        <v>0</v>
      </c>
      <c r="P159" s="23"/>
      <c r="Q159" s="23" t="s">
        <v>111</v>
      </c>
      <c r="R159" s="23">
        <f t="shared" si="20"/>
        <v>4</v>
      </c>
      <c r="S159" s="22" t="s">
        <v>11</v>
      </c>
      <c r="T159" s="22" t="s">
        <v>342</v>
      </c>
      <c r="U159" s="23">
        <f t="shared" si="21"/>
        <v>1</v>
      </c>
      <c r="V159" s="22">
        <v>12</v>
      </c>
      <c r="W159" s="23">
        <f t="shared" si="22"/>
        <v>240</v>
      </c>
      <c r="X159" s="23">
        <v>5</v>
      </c>
      <c r="Y159" s="38">
        <f>Data!I316</f>
        <v>7200</v>
      </c>
      <c r="Z159" s="23" t="s">
        <v>60</v>
      </c>
      <c r="AA159" s="23">
        <v>172800</v>
      </c>
      <c r="AB159" s="23" t="str">
        <f t="shared" si="23"/>
        <v>3</v>
      </c>
      <c r="AC159" s="19">
        <f>AVERAGE(Data!I316:BN316)</f>
        <v>50914.285714285717</v>
      </c>
      <c r="AD159" s="23" t="str">
        <f t="shared" si="24"/>
        <v>3</v>
      </c>
      <c r="AE159" s="38">
        <f t="shared" si="25"/>
        <v>165600</v>
      </c>
      <c r="AF159" s="41">
        <f>Data!I317</f>
        <v>0.98</v>
      </c>
      <c r="AG159" s="19">
        <f>((Data!J317-Data!I317)+(Data!K317-Data!J317)+(Data!L317-Data!K317)+(Data!M317-Data!L317)+(Data!N317-Data!M317)+(Data!O317-Data!N317))/6</f>
        <v>-4.1666666666666664E-2</v>
      </c>
    </row>
    <row r="160" spans="1:118" s="3" customFormat="1" ht="12" customHeight="1" x14ac:dyDescent="0.2">
      <c r="A160" s="27">
        <v>43912</v>
      </c>
      <c r="B160" s="1" t="s">
        <v>75</v>
      </c>
      <c r="C160" s="1" t="s">
        <v>76</v>
      </c>
      <c r="D160" s="23">
        <v>1922</v>
      </c>
      <c r="E160" s="38">
        <v>3</v>
      </c>
      <c r="F160" s="23">
        <v>20</v>
      </c>
      <c r="G160" s="23">
        <v>20</v>
      </c>
      <c r="H160" s="23" t="s">
        <v>427</v>
      </c>
      <c r="I160" s="36">
        <v>1</v>
      </c>
      <c r="J160" s="23" t="s">
        <v>174</v>
      </c>
      <c r="K160" s="23">
        <f t="shared" si="18"/>
        <v>1</v>
      </c>
      <c r="L160" s="23">
        <f t="shared" si="26"/>
        <v>1</v>
      </c>
      <c r="M160" s="23">
        <v>1</v>
      </c>
      <c r="N160" s="23">
        <v>2</v>
      </c>
      <c r="O160" s="23">
        <v>0</v>
      </c>
      <c r="P160" s="23"/>
      <c r="Q160" s="23" t="s">
        <v>111</v>
      </c>
      <c r="R160" s="23">
        <f t="shared" si="20"/>
        <v>4</v>
      </c>
      <c r="S160" s="22" t="s">
        <v>11</v>
      </c>
      <c r="T160" s="22" t="s">
        <v>342</v>
      </c>
      <c r="U160" s="23">
        <f t="shared" si="21"/>
        <v>1</v>
      </c>
      <c r="V160" s="22">
        <v>12</v>
      </c>
      <c r="W160" s="23">
        <f t="shared" si="22"/>
        <v>240</v>
      </c>
      <c r="X160" s="23">
        <v>5</v>
      </c>
      <c r="Y160" s="38">
        <f>Data!I318</f>
        <v>1200</v>
      </c>
      <c r="Z160" s="23" t="s">
        <v>60</v>
      </c>
      <c r="AA160" s="23">
        <v>172800</v>
      </c>
      <c r="AB160" s="23" t="str">
        <f t="shared" si="23"/>
        <v>3</v>
      </c>
      <c r="AC160" s="19">
        <f>AVERAGE(Data!I318:BN318)</f>
        <v>55680</v>
      </c>
      <c r="AD160" s="23" t="str">
        <f t="shared" si="24"/>
        <v>3</v>
      </c>
      <c r="AE160" s="38">
        <f t="shared" si="25"/>
        <v>171600</v>
      </c>
      <c r="AF160" s="41">
        <f>Data!I319</f>
        <v>0.96</v>
      </c>
      <c r="AG160" s="19">
        <f>((Data!J319-Data!I319)+(Data!K319-Data!J319)+(Data!L319-Data!K319)+(Data!M319-Data!L319))/4</f>
        <v>-4.2499999999999982E-2</v>
      </c>
    </row>
    <row r="161" spans="1:118" s="3" customFormat="1" ht="12" customHeight="1" x14ac:dyDescent="0.2">
      <c r="A161" s="27">
        <v>43912</v>
      </c>
      <c r="B161" s="1" t="s">
        <v>75</v>
      </c>
      <c r="C161" s="1" t="s">
        <v>76</v>
      </c>
      <c r="D161" s="23">
        <v>1922</v>
      </c>
      <c r="E161" s="38">
        <v>3</v>
      </c>
      <c r="F161" s="23">
        <v>20</v>
      </c>
      <c r="G161" s="23">
        <v>20</v>
      </c>
      <c r="H161" s="23" t="s">
        <v>427</v>
      </c>
      <c r="I161" s="36">
        <v>0.33</v>
      </c>
      <c r="J161" s="23" t="s">
        <v>174</v>
      </c>
      <c r="K161" s="23">
        <f t="shared" si="18"/>
        <v>1</v>
      </c>
      <c r="L161" s="23">
        <f t="shared" si="26"/>
        <v>1</v>
      </c>
      <c r="M161" s="23">
        <v>1</v>
      </c>
      <c r="N161" s="23">
        <v>2</v>
      </c>
      <c r="O161" s="23">
        <v>0</v>
      </c>
      <c r="P161" s="23"/>
      <c r="Q161" s="23" t="s">
        <v>111</v>
      </c>
      <c r="R161" s="23">
        <f t="shared" si="20"/>
        <v>4</v>
      </c>
      <c r="S161" s="22" t="s">
        <v>11</v>
      </c>
      <c r="T161" s="22" t="s">
        <v>342</v>
      </c>
      <c r="U161" s="23">
        <f t="shared" si="21"/>
        <v>1</v>
      </c>
      <c r="V161" s="22">
        <v>12</v>
      </c>
      <c r="W161" s="23">
        <f t="shared" si="22"/>
        <v>240</v>
      </c>
      <c r="X161" s="23">
        <v>5</v>
      </c>
      <c r="Y161" s="38">
        <f>Data!I322</f>
        <v>1200</v>
      </c>
      <c r="Z161" s="23" t="s">
        <v>60</v>
      </c>
      <c r="AA161" s="23">
        <v>172800</v>
      </c>
      <c r="AB161" s="23" t="str">
        <f t="shared" si="23"/>
        <v>3</v>
      </c>
      <c r="AC161" s="19">
        <f>AVERAGE(Data!I322:BN322)</f>
        <v>55680</v>
      </c>
      <c r="AD161" s="23" t="str">
        <f t="shared" si="24"/>
        <v>3</v>
      </c>
      <c r="AE161" s="38">
        <f t="shared" si="25"/>
        <v>171600</v>
      </c>
      <c r="AF161" s="41">
        <f>Data!I323</f>
        <v>0.73</v>
      </c>
      <c r="AG161" s="19">
        <f>((Data!J323-Data!I323)+(Data!K323-Data!J323)+(Data!L323-Data!K323)+(Data!M323-Data!L323))/4</f>
        <v>-0.11749999999999999</v>
      </c>
    </row>
    <row r="162" spans="1:118" s="3" customFormat="1" ht="12" customHeight="1" x14ac:dyDescent="0.2">
      <c r="A162" s="27">
        <v>43896</v>
      </c>
      <c r="B162" s="32" t="s">
        <v>221</v>
      </c>
      <c r="C162" s="32" t="s">
        <v>36</v>
      </c>
      <c r="D162" s="31">
        <v>1975</v>
      </c>
      <c r="E162" s="44">
        <v>1</v>
      </c>
      <c r="F162" s="31">
        <v>15</v>
      </c>
      <c r="G162" s="31">
        <v>15</v>
      </c>
      <c r="H162" s="31" t="s">
        <v>222</v>
      </c>
      <c r="I162" s="31" t="s">
        <v>197</v>
      </c>
      <c r="J162" s="31" t="s">
        <v>208</v>
      </c>
      <c r="K162" s="31">
        <f t="shared" si="18"/>
        <v>26</v>
      </c>
      <c r="L162" s="31">
        <f t="shared" si="26"/>
        <v>4</v>
      </c>
      <c r="M162" s="31">
        <v>1</v>
      </c>
      <c r="N162" s="43">
        <v>2</v>
      </c>
      <c r="O162" s="31">
        <v>0</v>
      </c>
      <c r="P162" s="31"/>
      <c r="Q162" s="31" t="s">
        <v>106</v>
      </c>
      <c r="R162" s="31">
        <f t="shared" si="20"/>
        <v>1</v>
      </c>
      <c r="S162" s="31" t="s">
        <v>31</v>
      </c>
      <c r="T162" s="31" t="s">
        <v>342</v>
      </c>
      <c r="U162" s="31">
        <f t="shared" si="21"/>
        <v>1</v>
      </c>
      <c r="V162" s="31">
        <v>85</v>
      </c>
      <c r="W162" s="31">
        <f t="shared" si="22"/>
        <v>1275</v>
      </c>
      <c r="X162" s="31">
        <v>5</v>
      </c>
      <c r="Y162" s="44">
        <f>Data!I324</f>
        <v>315360000</v>
      </c>
      <c r="Z162" s="31" t="s">
        <v>130</v>
      </c>
      <c r="AA162" s="31">
        <f>50*365*24*60*60</f>
        <v>1576800000</v>
      </c>
      <c r="AB162" s="31" t="str">
        <f t="shared" si="23"/>
        <v>4</v>
      </c>
      <c r="AC162" s="34">
        <f>AVERAGE(Data!I324:BN324)</f>
        <v>3156672000</v>
      </c>
      <c r="AD162" s="31" t="str">
        <f t="shared" si="24"/>
        <v>4</v>
      </c>
      <c r="AE162" s="44">
        <f t="shared" si="25"/>
        <v>1261440000</v>
      </c>
      <c r="AF162" s="45">
        <f>Data!I325</f>
        <v>0.75</v>
      </c>
      <c r="AG162" s="34">
        <f>((Data!J325-Data!I325)+(Data!K325-Data!J325)+(Data!L325-Data!K325)+(Data!M325-Data!L325))/4</f>
        <v>-9.2499999999999999E-2</v>
      </c>
    </row>
    <row r="163" spans="1:118" s="3" customFormat="1" ht="12" customHeight="1" x14ac:dyDescent="0.2">
      <c r="A163" s="27">
        <v>43902</v>
      </c>
      <c r="B163" s="1" t="s">
        <v>275</v>
      </c>
      <c r="C163" s="1" t="s">
        <v>215</v>
      </c>
      <c r="D163" s="23">
        <v>1988</v>
      </c>
      <c r="E163" s="38">
        <v>1</v>
      </c>
      <c r="F163" s="23">
        <v>5</v>
      </c>
      <c r="G163" s="23">
        <v>5</v>
      </c>
      <c r="H163" s="23" t="s">
        <v>277</v>
      </c>
      <c r="I163" s="23" t="s">
        <v>197</v>
      </c>
      <c r="J163" s="22" t="s">
        <v>213</v>
      </c>
      <c r="K163" s="23">
        <f t="shared" si="18"/>
        <v>28</v>
      </c>
      <c r="L163" s="23">
        <f t="shared" si="26"/>
        <v>4</v>
      </c>
      <c r="M163" s="23">
        <v>1</v>
      </c>
      <c r="N163" s="22">
        <v>3</v>
      </c>
      <c r="O163" s="23">
        <v>0</v>
      </c>
      <c r="P163" s="23"/>
      <c r="Q163" s="23" t="s">
        <v>106</v>
      </c>
      <c r="R163" s="23">
        <f t="shared" si="20"/>
        <v>1</v>
      </c>
      <c r="S163" s="23" t="s">
        <v>31</v>
      </c>
      <c r="T163" s="22" t="s">
        <v>342</v>
      </c>
      <c r="U163" s="23">
        <f t="shared" si="21"/>
        <v>1</v>
      </c>
      <c r="V163" s="22">
        <v>75</v>
      </c>
      <c r="W163" s="23">
        <f t="shared" si="22"/>
        <v>375</v>
      </c>
      <c r="X163" s="23">
        <v>5</v>
      </c>
      <c r="Y163" s="38">
        <f>Data!I328</f>
        <v>315360000</v>
      </c>
      <c r="Z163" s="22" t="s">
        <v>130</v>
      </c>
      <c r="AA163" s="23">
        <f>50*365*24*60*60</f>
        <v>1576800000</v>
      </c>
      <c r="AB163" s="23" t="str">
        <f t="shared" si="23"/>
        <v>4</v>
      </c>
      <c r="AC163" s="19">
        <f>AVERAGE(Data!I328:BN328)</f>
        <v>946080000</v>
      </c>
      <c r="AD163" s="23" t="str">
        <f t="shared" si="24"/>
        <v>4</v>
      </c>
      <c r="AE163" s="38">
        <f t="shared" si="25"/>
        <v>1261440000</v>
      </c>
      <c r="AF163" s="41">
        <f>Data!I329</f>
        <v>0.64</v>
      </c>
      <c r="AG163" s="19">
        <f>((Data!J329-Data!I329)+(Data!K329-Data!J329)+(Data!L329-Data!K329)+(Data!M329-Data!L329))/4</f>
        <v>-8.7500000000000008E-2</v>
      </c>
    </row>
    <row r="164" spans="1:118" s="3" customFormat="1" ht="12" customHeight="1" x14ac:dyDescent="0.2">
      <c r="A164" s="27">
        <v>43902</v>
      </c>
      <c r="B164" s="1" t="s">
        <v>275</v>
      </c>
      <c r="C164" s="1" t="s">
        <v>215</v>
      </c>
      <c r="D164" s="23">
        <v>1988</v>
      </c>
      <c r="E164" s="38">
        <v>1</v>
      </c>
      <c r="F164" s="23">
        <v>5</v>
      </c>
      <c r="G164" s="23">
        <v>5</v>
      </c>
      <c r="H164" s="23" t="s">
        <v>277</v>
      </c>
      <c r="I164" s="23" t="s">
        <v>197</v>
      </c>
      <c r="J164" s="22" t="s">
        <v>213</v>
      </c>
      <c r="K164" s="23">
        <f t="shared" si="18"/>
        <v>28</v>
      </c>
      <c r="L164" s="23">
        <f t="shared" si="26"/>
        <v>4</v>
      </c>
      <c r="M164" s="23">
        <v>1</v>
      </c>
      <c r="N164" s="22">
        <v>3</v>
      </c>
      <c r="O164" s="23">
        <v>0</v>
      </c>
      <c r="P164" s="23"/>
      <c r="Q164" s="23" t="s">
        <v>111</v>
      </c>
      <c r="R164" s="23">
        <f t="shared" si="20"/>
        <v>4</v>
      </c>
      <c r="S164" s="23" t="s">
        <v>11</v>
      </c>
      <c r="T164" s="22" t="s">
        <v>342</v>
      </c>
      <c r="U164" s="23">
        <f t="shared" si="21"/>
        <v>1</v>
      </c>
      <c r="V164" s="22">
        <v>75</v>
      </c>
      <c r="W164" s="23">
        <f t="shared" si="22"/>
        <v>375</v>
      </c>
      <c r="X164" s="23">
        <v>5</v>
      </c>
      <c r="Y164" s="38">
        <f>Data!I330</f>
        <v>315360000</v>
      </c>
      <c r="Z164" s="22" t="s">
        <v>130</v>
      </c>
      <c r="AA164" s="23">
        <f>50*365*24*60*60</f>
        <v>1576800000</v>
      </c>
      <c r="AB164" s="23" t="str">
        <f t="shared" si="23"/>
        <v>4</v>
      </c>
      <c r="AC164" s="19">
        <f>AVERAGE(Data!I330:BN330)</f>
        <v>946080000</v>
      </c>
      <c r="AD164" s="23" t="str">
        <f t="shared" si="24"/>
        <v>4</v>
      </c>
      <c r="AE164" s="38">
        <f t="shared" si="25"/>
        <v>1261440000</v>
      </c>
      <c r="AF164" s="41">
        <f>Data!I331</f>
        <v>0.92</v>
      </c>
      <c r="AG164" s="19">
        <f>((Data!J331-Data!I331)+(Data!K331-Data!J331)+(Data!L331-Data!K331)+(Data!M331-Data!L331))/4</f>
        <v>-0.11000000000000001</v>
      </c>
      <c r="DN164" s="4"/>
    </row>
    <row r="165" spans="1:118" s="3" customFormat="1" ht="12" customHeight="1" x14ac:dyDescent="0.2">
      <c r="A165" s="27">
        <v>43902</v>
      </c>
      <c r="B165" s="1" t="s">
        <v>275</v>
      </c>
      <c r="C165" s="1" t="s">
        <v>215</v>
      </c>
      <c r="D165" s="23">
        <v>1988</v>
      </c>
      <c r="E165" s="38">
        <v>1</v>
      </c>
      <c r="F165" s="23">
        <v>8</v>
      </c>
      <c r="G165" s="23">
        <v>8</v>
      </c>
      <c r="H165" s="23" t="s">
        <v>278</v>
      </c>
      <c r="I165" s="23" t="s">
        <v>197</v>
      </c>
      <c r="J165" s="23" t="s">
        <v>206</v>
      </c>
      <c r="K165" s="23">
        <f t="shared" si="18"/>
        <v>46</v>
      </c>
      <c r="L165" s="23">
        <f t="shared" si="26"/>
        <v>7</v>
      </c>
      <c r="M165" s="23">
        <v>1</v>
      </c>
      <c r="N165" s="22">
        <v>4</v>
      </c>
      <c r="O165" s="23">
        <v>0</v>
      </c>
      <c r="P165" s="23"/>
      <c r="Q165" s="23" t="s">
        <v>106</v>
      </c>
      <c r="R165" s="23">
        <f t="shared" si="20"/>
        <v>1</v>
      </c>
      <c r="S165" s="23" t="s">
        <v>31</v>
      </c>
      <c r="T165" s="22" t="s">
        <v>342</v>
      </c>
      <c r="U165" s="23">
        <f t="shared" si="21"/>
        <v>1</v>
      </c>
      <c r="V165" s="22">
        <v>75</v>
      </c>
      <c r="W165" s="23">
        <f t="shared" si="22"/>
        <v>600</v>
      </c>
      <c r="X165" s="23">
        <v>5</v>
      </c>
      <c r="Y165" s="38">
        <f>Data!I332</f>
        <v>315360000</v>
      </c>
      <c r="Z165" s="22" t="s">
        <v>130</v>
      </c>
      <c r="AA165" s="23">
        <f>50*365*24*60*60</f>
        <v>1576800000</v>
      </c>
      <c r="AB165" s="23" t="str">
        <f t="shared" si="23"/>
        <v>4</v>
      </c>
      <c r="AC165" s="19">
        <f>AVERAGE(Data!I332:BN332)</f>
        <v>946080000</v>
      </c>
      <c r="AD165" s="23" t="str">
        <f t="shared" si="24"/>
        <v>4</v>
      </c>
      <c r="AE165" s="38">
        <f t="shared" si="25"/>
        <v>1261440000</v>
      </c>
      <c r="AF165" s="41">
        <f>Data!I333</f>
        <v>0.64</v>
      </c>
      <c r="AG165" s="19">
        <f>((Data!J333-Data!I333)+(Data!K333-Data!J333)+(Data!L333-Data!K333)+(Data!M333-Data!L333))/4</f>
        <v>-7.4999999999999997E-2</v>
      </c>
      <c r="DN165" s="4"/>
    </row>
    <row r="166" spans="1:118" s="3" customFormat="1" ht="12" customHeight="1" x14ac:dyDescent="0.2">
      <c r="A166" s="27">
        <v>43902</v>
      </c>
      <c r="B166" s="1" t="s">
        <v>275</v>
      </c>
      <c r="C166" s="1" t="s">
        <v>215</v>
      </c>
      <c r="D166" s="23">
        <v>1988</v>
      </c>
      <c r="E166" s="38">
        <v>1</v>
      </c>
      <c r="F166" s="23">
        <v>8</v>
      </c>
      <c r="G166" s="23">
        <v>8</v>
      </c>
      <c r="H166" s="23" t="s">
        <v>278</v>
      </c>
      <c r="I166" s="23" t="s">
        <v>197</v>
      </c>
      <c r="J166" s="23" t="s">
        <v>206</v>
      </c>
      <c r="K166" s="23">
        <f t="shared" si="18"/>
        <v>46</v>
      </c>
      <c r="L166" s="23">
        <f t="shared" si="26"/>
        <v>7</v>
      </c>
      <c r="M166" s="23">
        <v>1</v>
      </c>
      <c r="N166" s="22">
        <v>4</v>
      </c>
      <c r="O166" s="23">
        <v>0</v>
      </c>
      <c r="P166" s="23"/>
      <c r="Q166" s="23" t="s">
        <v>111</v>
      </c>
      <c r="R166" s="23">
        <f t="shared" si="20"/>
        <v>4</v>
      </c>
      <c r="S166" s="23" t="s">
        <v>11</v>
      </c>
      <c r="T166" s="22" t="s">
        <v>342</v>
      </c>
      <c r="U166" s="23">
        <f t="shared" si="21"/>
        <v>1</v>
      </c>
      <c r="V166" s="22">
        <v>75</v>
      </c>
      <c r="W166" s="23">
        <f t="shared" si="22"/>
        <v>600</v>
      </c>
      <c r="X166" s="23">
        <v>5</v>
      </c>
      <c r="Y166" s="38">
        <f>Data!I334</f>
        <v>315360000</v>
      </c>
      <c r="Z166" s="22" t="s">
        <v>130</v>
      </c>
      <c r="AA166" s="23">
        <f>50*365*24*60*60</f>
        <v>1576800000</v>
      </c>
      <c r="AB166" s="23" t="str">
        <f t="shared" si="23"/>
        <v>4</v>
      </c>
      <c r="AC166" s="19">
        <f>AVERAGE(Data!I334:BN334)</f>
        <v>946080000</v>
      </c>
      <c r="AD166" s="23" t="str">
        <f t="shared" si="24"/>
        <v>4</v>
      </c>
      <c r="AE166" s="38">
        <f t="shared" si="25"/>
        <v>1261440000</v>
      </c>
      <c r="AF166" s="41">
        <f>Data!I335</f>
        <v>0.83</v>
      </c>
      <c r="AG166" s="19">
        <f>((Data!J335-Data!I335)+(Data!K335-Data!J335)+(Data!L335-Data!K335)+(Data!M335-Data!L335))/4</f>
        <v>-5.4999999999999993E-2</v>
      </c>
    </row>
    <row r="167" spans="1:118" ht="12" customHeight="1" x14ac:dyDescent="0.2">
      <c r="A167" s="27">
        <v>43509</v>
      </c>
      <c r="B167" s="32" t="s">
        <v>154</v>
      </c>
      <c r="C167" s="32" t="s">
        <v>28</v>
      </c>
      <c r="D167" s="31">
        <v>1997</v>
      </c>
      <c r="E167" s="44">
        <v>3</v>
      </c>
      <c r="F167" s="31">
        <v>18</v>
      </c>
      <c r="G167" s="31">
        <v>18</v>
      </c>
      <c r="H167" s="31" t="s">
        <v>26</v>
      </c>
      <c r="I167" s="31" t="s">
        <v>428</v>
      </c>
      <c r="J167" s="31" t="s">
        <v>12</v>
      </c>
      <c r="K167" s="31">
        <f t="shared" si="18"/>
        <v>9</v>
      </c>
      <c r="L167" s="31">
        <f t="shared" si="26"/>
        <v>2</v>
      </c>
      <c r="M167" s="31">
        <v>0</v>
      </c>
      <c r="N167" s="31">
        <v>1</v>
      </c>
      <c r="O167" s="31">
        <v>0</v>
      </c>
      <c r="P167" s="31"/>
      <c r="Q167" s="31" t="s">
        <v>45</v>
      </c>
      <c r="R167" s="31">
        <f t="shared" si="20"/>
        <v>2</v>
      </c>
      <c r="S167" s="31" t="s">
        <v>31</v>
      </c>
      <c r="T167" s="46" t="s">
        <v>342</v>
      </c>
      <c r="U167" s="31">
        <f t="shared" si="21"/>
        <v>1</v>
      </c>
      <c r="V167" s="46">
        <v>22</v>
      </c>
      <c r="W167" s="31">
        <f t="shared" si="22"/>
        <v>396</v>
      </c>
      <c r="X167" s="31">
        <v>9</v>
      </c>
      <c r="Y167" s="44">
        <f>Data!I344</f>
        <v>90</v>
      </c>
      <c r="Z167" s="31" t="s">
        <v>46</v>
      </c>
      <c r="AA167" s="31">
        <v>3768</v>
      </c>
      <c r="AB167" s="31" t="str">
        <f t="shared" si="23"/>
        <v>2</v>
      </c>
      <c r="AC167" s="34">
        <f>AVERAGE(Data!I344:BN344)</f>
        <v>1495.6572545497768</v>
      </c>
      <c r="AD167" s="31" t="str">
        <f t="shared" si="24"/>
        <v>2</v>
      </c>
      <c r="AE167" s="44">
        <f t="shared" si="25"/>
        <v>3678</v>
      </c>
      <c r="AF167" s="45">
        <f>Data!I345</f>
        <v>0.72106500435827603</v>
      </c>
      <c r="AG167" s="34">
        <f>((Data!J345-Data!I345)+(Data!K345-Data!J345)+(Data!L345-Data!K345)+(Data!M345-Data!L345)+(Data!N345-Data!M345)+(Data!O345-Data!N345)+(Data!P345-Data!O345)+(Data!Q345-Data!P345))/8</f>
        <v>-5.0130087957949127E-2</v>
      </c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</row>
    <row r="168" spans="1:118" ht="12" customHeight="1" x14ac:dyDescent="0.2">
      <c r="A168" s="27">
        <v>43509</v>
      </c>
      <c r="B168" s="32" t="s">
        <v>154</v>
      </c>
      <c r="C168" s="32" t="s">
        <v>28</v>
      </c>
      <c r="D168" s="31">
        <v>1997</v>
      </c>
      <c r="E168" s="44">
        <v>3</v>
      </c>
      <c r="F168" s="31">
        <v>18</v>
      </c>
      <c r="G168" s="31">
        <v>18</v>
      </c>
      <c r="H168" s="31" t="s">
        <v>26</v>
      </c>
      <c r="I168" s="31" t="s">
        <v>429</v>
      </c>
      <c r="J168" s="31" t="s">
        <v>12</v>
      </c>
      <c r="K168" s="31">
        <f t="shared" si="18"/>
        <v>9</v>
      </c>
      <c r="L168" s="31">
        <f t="shared" si="26"/>
        <v>2</v>
      </c>
      <c r="M168" s="31">
        <v>0</v>
      </c>
      <c r="N168" s="31">
        <v>1</v>
      </c>
      <c r="O168" s="31">
        <v>0</v>
      </c>
      <c r="P168" s="31"/>
      <c r="Q168" s="31" t="s">
        <v>45</v>
      </c>
      <c r="R168" s="31">
        <f t="shared" si="20"/>
        <v>2</v>
      </c>
      <c r="S168" s="31" t="s">
        <v>31</v>
      </c>
      <c r="T168" s="46" t="s">
        <v>342</v>
      </c>
      <c r="U168" s="31">
        <f t="shared" si="21"/>
        <v>1</v>
      </c>
      <c r="V168" s="46">
        <v>22</v>
      </c>
      <c r="W168" s="31">
        <f t="shared" si="22"/>
        <v>396</v>
      </c>
      <c r="X168" s="31">
        <v>9</v>
      </c>
      <c r="Y168" s="44">
        <f>Data!I346</f>
        <v>90</v>
      </c>
      <c r="Z168" s="31" t="s">
        <v>46</v>
      </c>
      <c r="AA168" s="31">
        <v>3768</v>
      </c>
      <c r="AB168" s="31" t="str">
        <f t="shared" si="23"/>
        <v>2</v>
      </c>
      <c r="AC168" s="34">
        <f>AVERAGE(Data!I346:BN346)</f>
        <v>1495.6572545497768</v>
      </c>
      <c r="AD168" s="31" t="str">
        <f t="shared" si="24"/>
        <v>2</v>
      </c>
      <c r="AE168" s="44">
        <f t="shared" si="25"/>
        <v>3678</v>
      </c>
      <c r="AF168" s="45">
        <f>Data!I347</f>
        <v>0.46089965397923799</v>
      </c>
      <c r="AG168" s="34">
        <f>((Data!J347-Data!I347)+(Data!K347-Data!J347)+(Data!L347-Data!K347)+(Data!M347-Data!L347)+(Data!N347-Data!M347)+(Data!O347-Data!N347)+(Data!P347-Data!O347)+(Data!Q347-Data!P347))/8</f>
        <v>-3.4886024459177378E-2</v>
      </c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</row>
    <row r="169" spans="1:118" s="3" customFormat="1" ht="12" customHeight="1" x14ac:dyDescent="0.2">
      <c r="A169" s="27">
        <v>43509</v>
      </c>
      <c r="B169" s="32" t="s">
        <v>154</v>
      </c>
      <c r="C169" s="32" t="s">
        <v>28</v>
      </c>
      <c r="D169" s="31">
        <v>1997</v>
      </c>
      <c r="E169" s="44">
        <v>4</v>
      </c>
      <c r="F169" s="31">
        <v>9</v>
      </c>
      <c r="G169" s="31">
        <v>9</v>
      </c>
      <c r="H169" s="31" t="s">
        <v>47</v>
      </c>
      <c r="I169" s="31" t="s">
        <v>428</v>
      </c>
      <c r="J169" s="31" t="s">
        <v>12</v>
      </c>
      <c r="K169" s="31">
        <f t="shared" si="18"/>
        <v>9</v>
      </c>
      <c r="L169" s="31">
        <f t="shared" si="26"/>
        <v>2</v>
      </c>
      <c r="M169" s="31">
        <v>0</v>
      </c>
      <c r="N169" s="31">
        <v>1</v>
      </c>
      <c r="O169" s="31">
        <v>0</v>
      </c>
      <c r="P169" s="31"/>
      <c r="Q169" s="31" t="s">
        <v>23</v>
      </c>
      <c r="R169" s="31">
        <f t="shared" si="20"/>
        <v>3</v>
      </c>
      <c r="S169" s="31" t="s">
        <v>11</v>
      </c>
      <c r="T169" s="46" t="s">
        <v>342</v>
      </c>
      <c r="U169" s="31">
        <f t="shared" si="21"/>
        <v>1</v>
      </c>
      <c r="V169" s="46">
        <v>22</v>
      </c>
      <c r="W169" s="31">
        <f t="shared" si="22"/>
        <v>198</v>
      </c>
      <c r="X169" s="31">
        <v>9</v>
      </c>
      <c r="Y169" s="44">
        <f>Data!I348</f>
        <v>90</v>
      </c>
      <c r="Z169" s="31" t="s">
        <v>46</v>
      </c>
      <c r="AA169" s="31">
        <v>3768</v>
      </c>
      <c r="AB169" s="31" t="str">
        <f t="shared" si="23"/>
        <v>2</v>
      </c>
      <c r="AC169" s="34">
        <f>AVERAGE(Data!I348:BN348)</f>
        <v>1495.6572545497768</v>
      </c>
      <c r="AD169" s="31" t="str">
        <f t="shared" si="24"/>
        <v>2</v>
      </c>
      <c r="AE169" s="44">
        <f t="shared" si="25"/>
        <v>3678</v>
      </c>
      <c r="AF169" s="45">
        <f>Data!I349</f>
        <v>0.87083267498814898</v>
      </c>
      <c r="AG169" s="34">
        <f>((Data!J349-Data!I349)+(Data!K349-Data!J349)+(Data!L349-Data!K349)+(Data!M349-Data!L349)+(Data!N349-Data!M349)+(Data!O349-Data!N349)+(Data!P349-Data!O349)+(Data!Q349-Data!P349))/8</f>
        <v>-9.2177730627722443E-3</v>
      </c>
    </row>
    <row r="170" spans="1:118" s="3" customFormat="1" ht="12" customHeight="1" x14ac:dyDescent="0.2">
      <c r="A170" s="27">
        <v>43509</v>
      </c>
      <c r="B170" s="32" t="s">
        <v>154</v>
      </c>
      <c r="C170" s="32" t="s">
        <v>28</v>
      </c>
      <c r="D170" s="31">
        <v>1997</v>
      </c>
      <c r="E170" s="44">
        <v>4</v>
      </c>
      <c r="F170" s="31">
        <v>9</v>
      </c>
      <c r="G170" s="31">
        <v>9</v>
      </c>
      <c r="H170" s="31" t="s">
        <v>47</v>
      </c>
      <c r="I170" s="31" t="s">
        <v>429</v>
      </c>
      <c r="J170" s="31" t="s">
        <v>12</v>
      </c>
      <c r="K170" s="31">
        <f t="shared" si="18"/>
        <v>9</v>
      </c>
      <c r="L170" s="31">
        <f t="shared" si="26"/>
        <v>2</v>
      </c>
      <c r="M170" s="31">
        <v>0</v>
      </c>
      <c r="N170" s="31">
        <v>1</v>
      </c>
      <c r="O170" s="31">
        <v>0</v>
      </c>
      <c r="P170" s="31"/>
      <c r="Q170" s="31" t="s">
        <v>23</v>
      </c>
      <c r="R170" s="31">
        <f t="shared" si="20"/>
        <v>3</v>
      </c>
      <c r="S170" s="31" t="s">
        <v>11</v>
      </c>
      <c r="T170" s="46" t="s">
        <v>342</v>
      </c>
      <c r="U170" s="31">
        <f t="shared" si="21"/>
        <v>1</v>
      </c>
      <c r="V170" s="46">
        <v>22</v>
      </c>
      <c r="W170" s="31">
        <f t="shared" si="22"/>
        <v>198</v>
      </c>
      <c r="X170" s="31">
        <v>9</v>
      </c>
      <c r="Y170" s="44">
        <f>Data!I350</f>
        <v>90</v>
      </c>
      <c r="Z170" s="31" t="s">
        <v>46</v>
      </c>
      <c r="AA170" s="31">
        <v>3768</v>
      </c>
      <c r="AB170" s="31" t="str">
        <f t="shared" si="23"/>
        <v>2</v>
      </c>
      <c r="AC170" s="34">
        <f>AVERAGE(Data!I350:BN350)</f>
        <v>1495.6572545497768</v>
      </c>
      <c r="AD170" s="31" t="str">
        <f t="shared" si="24"/>
        <v>2</v>
      </c>
      <c r="AE170" s="44">
        <f t="shared" si="25"/>
        <v>3678</v>
      </c>
      <c r="AF170" s="45">
        <f>Data!I351</f>
        <v>0.72167234724510698</v>
      </c>
      <c r="AG170" s="34">
        <f>((Data!J351-Data!I351)+(Data!K351-Data!J351)+(Data!L351-Data!K351)+(Data!M351-Data!L351)+(Data!N351-Data!M351)+(Data!O351-Data!N351)+(Data!P351-Data!O351)+(Data!Q351-Data!P351))/8</f>
        <v>-1.1836881813872629E-2</v>
      </c>
    </row>
    <row r="171" spans="1:118" s="3" customFormat="1" ht="12" customHeight="1" x14ac:dyDescent="0.2">
      <c r="A171" s="27">
        <v>43509</v>
      </c>
      <c r="B171" s="32" t="s">
        <v>154</v>
      </c>
      <c r="C171" s="32" t="s">
        <v>28</v>
      </c>
      <c r="D171" s="31">
        <v>1997</v>
      </c>
      <c r="E171" s="44">
        <v>1</v>
      </c>
      <c r="F171" s="31">
        <v>12</v>
      </c>
      <c r="G171" s="31">
        <v>12</v>
      </c>
      <c r="H171" s="31" t="s">
        <v>22</v>
      </c>
      <c r="I171" s="31" t="s">
        <v>428</v>
      </c>
      <c r="J171" s="31" t="s">
        <v>12</v>
      </c>
      <c r="K171" s="31">
        <f t="shared" si="18"/>
        <v>9</v>
      </c>
      <c r="L171" s="31">
        <f t="shared" si="26"/>
        <v>2</v>
      </c>
      <c r="M171" s="31">
        <v>0</v>
      </c>
      <c r="N171" s="31">
        <v>1</v>
      </c>
      <c r="O171" s="31">
        <v>0</v>
      </c>
      <c r="P171" s="31"/>
      <c r="Q171" s="31" t="s">
        <v>45</v>
      </c>
      <c r="R171" s="31">
        <f t="shared" si="20"/>
        <v>2</v>
      </c>
      <c r="S171" s="31" t="s">
        <v>31</v>
      </c>
      <c r="T171" s="46" t="s">
        <v>342</v>
      </c>
      <c r="U171" s="31">
        <f t="shared" si="21"/>
        <v>1</v>
      </c>
      <c r="V171" s="46">
        <v>22</v>
      </c>
      <c r="W171" s="31">
        <f t="shared" si="22"/>
        <v>264</v>
      </c>
      <c r="X171" s="31">
        <v>7</v>
      </c>
      <c r="Y171" s="44">
        <f>Data!I336</f>
        <v>180</v>
      </c>
      <c r="Z171" s="31" t="s">
        <v>41</v>
      </c>
      <c r="AA171" s="31">
        <v>5400</v>
      </c>
      <c r="AB171" s="31" t="str">
        <f t="shared" si="23"/>
        <v>2</v>
      </c>
      <c r="AC171" s="34">
        <f>AVERAGE(Data!I336:BN336)</f>
        <v>2031.4285714285713</v>
      </c>
      <c r="AD171" s="31" t="str">
        <f t="shared" si="24"/>
        <v>2</v>
      </c>
      <c r="AE171" s="44">
        <f t="shared" si="25"/>
        <v>5220</v>
      </c>
      <c r="AF171" s="45">
        <f>Data!I337</f>
        <v>0.58908739242485797</v>
      </c>
      <c r="AG171" s="34">
        <f>((Data!J337-Data!I337)+(Data!K337-Data!J337)+(Data!L337-Data!K337)+(Data!M337-Data!L337)+(Data!N337-Data!M337)+(Data!O337-Data!N337))/6</f>
        <v>-6.0475276793261999E-2</v>
      </c>
    </row>
    <row r="172" spans="1:118" s="3" customFormat="1" ht="12" customHeight="1" x14ac:dyDescent="0.2">
      <c r="A172" s="27">
        <v>43509</v>
      </c>
      <c r="B172" s="32" t="s">
        <v>154</v>
      </c>
      <c r="C172" s="32" t="s">
        <v>28</v>
      </c>
      <c r="D172" s="31">
        <v>1997</v>
      </c>
      <c r="E172" s="44">
        <v>1</v>
      </c>
      <c r="F172" s="31">
        <v>12</v>
      </c>
      <c r="G172" s="31">
        <v>12</v>
      </c>
      <c r="H172" s="31" t="s">
        <v>22</v>
      </c>
      <c r="I172" s="31" t="s">
        <v>429</v>
      </c>
      <c r="J172" s="31" t="s">
        <v>12</v>
      </c>
      <c r="K172" s="31">
        <f t="shared" si="18"/>
        <v>9</v>
      </c>
      <c r="L172" s="31">
        <f t="shared" si="26"/>
        <v>2</v>
      </c>
      <c r="M172" s="31">
        <v>0</v>
      </c>
      <c r="N172" s="31">
        <v>1</v>
      </c>
      <c r="O172" s="31">
        <v>0</v>
      </c>
      <c r="P172" s="31"/>
      <c r="Q172" s="31" t="s">
        <v>45</v>
      </c>
      <c r="R172" s="31">
        <f t="shared" si="20"/>
        <v>2</v>
      </c>
      <c r="S172" s="31" t="s">
        <v>31</v>
      </c>
      <c r="T172" s="46" t="s">
        <v>342</v>
      </c>
      <c r="U172" s="31">
        <f t="shared" si="21"/>
        <v>1</v>
      </c>
      <c r="V172" s="46">
        <v>22</v>
      </c>
      <c r="W172" s="31">
        <f t="shared" si="22"/>
        <v>264</v>
      </c>
      <c r="X172" s="31">
        <v>7</v>
      </c>
      <c r="Y172" s="44">
        <f>Data!I338</f>
        <v>180</v>
      </c>
      <c r="Z172" s="31" t="s">
        <v>41</v>
      </c>
      <c r="AA172" s="31">
        <v>5400</v>
      </c>
      <c r="AB172" s="31" t="str">
        <f t="shared" si="23"/>
        <v>2</v>
      </c>
      <c r="AC172" s="34">
        <f>AVERAGE(Data!I338:BN338)</f>
        <v>2031.4285714285713</v>
      </c>
      <c r="AD172" s="31" t="str">
        <f t="shared" si="24"/>
        <v>2</v>
      </c>
      <c r="AE172" s="44">
        <f t="shared" si="25"/>
        <v>5220</v>
      </c>
      <c r="AF172" s="45">
        <f>Data!I339</f>
        <v>0.49186467008575102</v>
      </c>
      <c r="AG172" s="34">
        <f>((Data!J339-Data!I339)+(Data!K339-Data!J339)+(Data!L339-Data!K339)+(Data!M339-Data!L339)+(Data!N339-Data!M339)+(Data!O339-Data!N339))/6</f>
        <v>-5.7929396070281504E-2</v>
      </c>
    </row>
    <row r="173" spans="1:118" s="3" customFormat="1" ht="12" customHeight="1" x14ac:dyDescent="0.2">
      <c r="A173" s="27">
        <v>43509</v>
      </c>
      <c r="B173" s="32" t="s">
        <v>116</v>
      </c>
      <c r="C173" s="32" t="s">
        <v>117</v>
      </c>
      <c r="D173" s="31">
        <v>2005</v>
      </c>
      <c r="E173" s="44">
        <v>1</v>
      </c>
      <c r="F173" s="31">
        <v>4239</v>
      </c>
      <c r="G173" s="31">
        <v>81.5</v>
      </c>
      <c r="H173" s="31" t="s">
        <v>25</v>
      </c>
      <c r="I173" s="31" t="s">
        <v>430</v>
      </c>
      <c r="J173" s="31" t="s">
        <v>397</v>
      </c>
      <c r="K173" s="31">
        <f t="shared" si="18"/>
        <v>42</v>
      </c>
      <c r="L173" s="31">
        <f t="shared" si="26"/>
        <v>7</v>
      </c>
      <c r="M173" s="31">
        <v>0</v>
      </c>
      <c r="N173" s="31">
        <v>3</v>
      </c>
      <c r="O173" s="31">
        <v>0</v>
      </c>
      <c r="P173" s="31"/>
      <c r="Q173" s="31" t="s">
        <v>111</v>
      </c>
      <c r="R173" s="31">
        <f t="shared" si="20"/>
        <v>4</v>
      </c>
      <c r="S173" s="31" t="s">
        <v>11</v>
      </c>
      <c r="T173" s="31" t="s">
        <v>163</v>
      </c>
      <c r="U173" s="31">
        <f t="shared" si="21"/>
        <v>0</v>
      </c>
      <c r="V173" s="31">
        <v>30</v>
      </c>
      <c r="W173" s="31">
        <f t="shared" si="22"/>
        <v>127170</v>
      </c>
      <c r="X173" s="31">
        <v>52</v>
      </c>
      <c r="Y173" s="44">
        <f>Data!I352</f>
        <v>86400</v>
      </c>
      <c r="Z173" s="31" t="s">
        <v>118</v>
      </c>
      <c r="AA173" s="44">
        <f>374.5*24*60*60</f>
        <v>32356800</v>
      </c>
      <c r="AB173" s="31" t="str">
        <f t="shared" si="23"/>
        <v>4</v>
      </c>
      <c r="AC173" s="34">
        <f>AVERAGE(Data!I352:BN352)</f>
        <v>12650953.846153846</v>
      </c>
      <c r="AD173" s="31" t="str">
        <f t="shared" si="24"/>
        <v>4</v>
      </c>
      <c r="AE173" s="44">
        <f t="shared" si="25"/>
        <v>32270400</v>
      </c>
      <c r="AF173" s="45">
        <f>Data!I353</f>
        <v>0.78902439024390203</v>
      </c>
      <c r="AG173" s="47">
        <f>((Data!J353-Data!I353)+(Data!K353-Data!J353)+(Data!L353-Data!K353)+(Data!M353-Data!L353)+(Data!N353-Data!M353)+(Data!O353-Data!N353)+(Data!P353-Data!O353)+(Data!Q353-Data!P353)+(Data!R353-Data!Q353)+(Data!S353-Data!R353)+(Data!T353-Data!S353)+(Data!U353-Data!T353)+(Data!V353-Data!U353)+(Data!W353-Data!V353)+(Data!X353-Data!W353)+(Data!Y353-Data!X353)+(Data!Z353-Data!Y353)+(Data!AA353-Data!Z353)+(Data!AB353-Data!AA353)+(Data!AC353-Data!AB353)+(Data!AD353-Data!AC353)+(Data!AE353-Data!AD353)+(Data!AF353-Data!AE353)+(Data!AG353-Data!AF353)+(Data!AH353-Data!AG353)+(Data!AI353-Data!AH353)+(Data!AJ353-Data!AI353)+(Data!AK353-Data!AJ353)+(Data!AL353-Data!AK353)+(Data!AM353-Data!AL353)+(Data!AN353-Data!AM353)+(Data!AO353-Data!AN353)+(Data!AP353-Data!AO353)+(Data!AQ353-Data!AP353)+(Data!AR353-Data!AQ353)+(Data!AS353-Data!AR353)+(Data!AT353-Data!AS353)+(Data!AU353-Data!AT353)+(Data!AV353-Data!AU353)+(Data!AW353-Data!AV353)+(Data!AX353-Data!AW353)+(Data!AY353-Data!AX353)+(Data!AZ353-Data!AY353)+(Data!BA353-Data!AZ353)+(Data!BB353-Data!BA353)+(Data!BC353-Data!BB353)+(Data!BD353-Data!BC353)+(Data!BE353-Data!BD353)+(Data!BF353-Data!BE353)+(Data!BG353-Data!BF353)+(Data!BH353-Data!BG353))/51</f>
        <v>-4.3519846963175485E-3</v>
      </c>
    </row>
    <row r="174" spans="1:118" s="3" customFormat="1" ht="12" customHeight="1" x14ac:dyDescent="0.2">
      <c r="A174" s="27">
        <v>43509</v>
      </c>
      <c r="B174" s="32" t="s">
        <v>116</v>
      </c>
      <c r="C174" s="32" t="s">
        <v>117</v>
      </c>
      <c r="D174" s="31">
        <v>2005</v>
      </c>
      <c r="E174" s="44">
        <v>1</v>
      </c>
      <c r="F174" s="31">
        <v>4239</v>
      </c>
      <c r="G174" s="31">
        <v>81.5</v>
      </c>
      <c r="H174" s="31" t="s">
        <v>25</v>
      </c>
      <c r="I174" s="31" t="s">
        <v>431</v>
      </c>
      <c r="J174" s="31" t="s">
        <v>397</v>
      </c>
      <c r="K174" s="31">
        <f t="shared" ref="K174:K228" si="27">IF(J174="syllables",1,IF(J174="trigrams",2,IF(J174="strings",3,IF(J174="visual array",4,IF(J174="characters",5,IF(J174="letters",6,IF(J174="free forms",7,IF(J174="odors",8,IF(J174="words",9,IF(J174="pictures",10,IF(J174="object pictures",11,IF(J174="faces",12,IF(J174="names",13,IF(J174="idioms",14,IF(J174="grades",15,IF(J174="syllable-digit pairs",16,IF(J174="trigram-word pairs",17,IF(J174="word-digit pairs",18,IF(J174="English-Swahili pairs",19,IF(J174="spatial position",20,IF(J174="word pairs",21,IF(J174="word triads",22,IF(J174="generated words",23,IF(J174="word definition pairs",24,IF(J174="math problems",25,IF(J174="famous faces",26,IF(J174="famous names",27,IF(J174="famous voices",28,IF(J174="television programs",29,IF(J174="race horses",30,IF(J174="new vocabulary",31,IF(J174="sentences",32,IF(J174="concepts",33,IF(J174="ad slides",34,IF(J174="scenes",35,IF(J174="famous scenes",36,IF(J174="poems",37,IF(J174="walk",38,IF(J174="faces and events",39,IF(J174="events and names",40,IF(J174="flashbulb",41,IF(J174="stories",42,IF(J174="course material",43,IF(J174="autobiographical",44,IF(J174="novels",45,IF(J174="public events",46,"99"))))))))))))))))))))))))))))))))))))))))))))))</f>
        <v>42</v>
      </c>
      <c r="L174" s="31">
        <f t="shared" si="26"/>
        <v>7</v>
      </c>
      <c r="M174" s="31">
        <v>0</v>
      </c>
      <c r="N174" s="31">
        <v>3</v>
      </c>
      <c r="O174" s="31">
        <v>0</v>
      </c>
      <c r="P174" s="31"/>
      <c r="Q174" s="31" t="s">
        <v>45</v>
      </c>
      <c r="R174" s="31">
        <f t="shared" ref="R174:R228" si="28">IF(Q174="Free Recall",1,IF(Q174="Cued Recall",2,IF(Q174="Recognition",3,IF(Q174="Multiple Choice",4,IF(Q174="Savings",5,IF(Q174="Stem Completion",6,IF(Q174="Fragment Completion",7,IF(Q174="anagram solution",8,IF(Q174="Matching",9,IF(Q174="Problem Solving",10,"99"))))))))))</f>
        <v>2</v>
      </c>
      <c r="S174" s="31" t="s">
        <v>11</v>
      </c>
      <c r="T174" s="31" t="s">
        <v>163</v>
      </c>
      <c r="U174" s="31">
        <f t="shared" ref="U174:U228" si="29">IF(T174="within",1,0)</f>
        <v>0</v>
      </c>
      <c r="V174" s="31">
        <v>30</v>
      </c>
      <c r="W174" s="31">
        <f t="shared" ref="W174:W228" si="30">F174*V174</f>
        <v>127170</v>
      </c>
      <c r="X174" s="31">
        <v>52</v>
      </c>
      <c r="Y174" s="44">
        <f>Data!I354</f>
        <v>86400</v>
      </c>
      <c r="Z174" s="31" t="s">
        <v>118</v>
      </c>
      <c r="AA174" s="44">
        <f>374.5*24*60*60</f>
        <v>32356800</v>
      </c>
      <c r="AB174" s="31" t="str">
        <f t="shared" ref="AB174:AB228" si="31">IF(AA174&lt;60,"1",IF(AA174&lt;=43200,"2",IF(AA174&lt;=777600,"3","4")))</f>
        <v>4</v>
      </c>
      <c r="AC174" s="34">
        <f>AVERAGE(Data!I354:BN354)</f>
        <v>12650953.846153846</v>
      </c>
      <c r="AD174" s="31" t="str">
        <f t="shared" ref="AD174:AD228" si="32">IF(AC174&lt;60,"1",IF(AC174&lt;=43200,"2",IF(AC174&lt;=777600,"3","4")))</f>
        <v>4</v>
      </c>
      <c r="AE174" s="44">
        <f t="shared" ref="AE174:AE228" si="33">AA174-Y174</f>
        <v>32270400</v>
      </c>
      <c r="AF174" s="45">
        <f>Data!I355</f>
        <v>0.62560975609756098</v>
      </c>
      <c r="AG174" s="34">
        <f>((Data!J355-Data!I355)+(Data!K355-Data!J355)+(Data!L355-Data!K355)+(Data!M355-Data!L355)+(Data!N355-Data!M355)+(Data!O355-Data!N355)+(Data!P355-Data!O355)+(Data!Q355-Data!P355)+(Data!R355-Data!Q355)+(Data!S355-Data!R355)+(Data!T355-Data!S355)+(Data!U355-Data!T355)+(Data!V355-Data!U355)+(Data!W355-Data!V355)+(Data!X355-Data!W355)+(Data!Y355-Data!X355)+(Data!Z355-Data!Y355)+(Data!AA355-Data!Z355)+(Data!AB355-Data!AA355)+(Data!AC355-Data!AB355)+(Data!AD355-Data!AC355)+(Data!AE355-Data!AD355)+(Data!AF355-Data!AE355)+(Data!AG355-Data!AF355)+(Data!AH355-Data!AG355)+(Data!AI355-Data!AH355)+(Data!AJ355-Data!AI355)+(Data!AK355-Data!AJ355)+(Data!AL355-Data!AK355)+(Data!AM355-Data!AL355)+(Data!AN355-Data!AM355)+(Data!AO355-Data!AN355)+(Data!AP355-Data!AO355)+(Data!AQ355-Data!AP355)+(Data!AR355-Data!AQ355)+(Data!AS355-Data!AR355)+(Data!AT355-Data!AS355)+(Data!AU355-Data!AT355)+(Data!AV355-Data!AU355)+(Data!AW355-Data!AV355)+(Data!AX355-Data!AW355)+(Data!AY355-Data!AX355)+(Data!AZ355-Data!AY355)+(Data!BA355-Data!AZ355)+(Data!BB355-Data!BA355)+(Data!BC355-Data!BB355)+(Data!BD355-Data!BC355)+(Data!BE355-Data!BD355)+(Data!BF355-Data!BE355)+(Data!BG355-Data!BF355)+(Data!BH355-Data!BG355))/51</f>
        <v>-6.0736489717838427E-3</v>
      </c>
    </row>
    <row r="175" spans="1:118" s="3" customFormat="1" ht="12" customHeight="1" x14ac:dyDescent="0.2">
      <c r="A175" s="27">
        <v>43896</v>
      </c>
      <c r="B175" s="1" t="s">
        <v>224</v>
      </c>
      <c r="C175" s="1" t="s">
        <v>36</v>
      </c>
      <c r="D175" s="23">
        <v>1980</v>
      </c>
      <c r="E175" s="38">
        <v>1</v>
      </c>
      <c r="F175" s="23">
        <v>5</v>
      </c>
      <c r="G175" s="23">
        <v>5</v>
      </c>
      <c r="H175" s="23" t="s">
        <v>32</v>
      </c>
      <c r="I175" s="23" t="s">
        <v>197</v>
      </c>
      <c r="J175" s="22" t="s">
        <v>213</v>
      </c>
      <c r="K175" s="23">
        <f t="shared" si="27"/>
        <v>28</v>
      </c>
      <c r="L175" s="23">
        <f t="shared" si="26"/>
        <v>4</v>
      </c>
      <c r="M175" s="23">
        <v>1</v>
      </c>
      <c r="N175" s="23">
        <v>2</v>
      </c>
      <c r="O175" s="23">
        <v>0</v>
      </c>
      <c r="P175" s="23"/>
      <c r="Q175" s="23" t="s">
        <v>106</v>
      </c>
      <c r="R175" s="23">
        <f t="shared" si="28"/>
        <v>1</v>
      </c>
      <c r="S175" s="23" t="s">
        <v>31</v>
      </c>
      <c r="T175" s="22" t="s">
        <v>342</v>
      </c>
      <c r="U175" s="23">
        <f t="shared" si="29"/>
        <v>1</v>
      </c>
      <c r="V175" s="22">
        <v>80</v>
      </c>
      <c r="W175" s="23">
        <f t="shared" si="30"/>
        <v>400</v>
      </c>
      <c r="X175" s="23">
        <v>5</v>
      </c>
      <c r="Y175" s="38">
        <f>Data!I356</f>
        <v>157680000</v>
      </c>
      <c r="Z175" s="23" t="s">
        <v>229</v>
      </c>
      <c r="AA175" s="23">
        <f>45*365*24*60*60</f>
        <v>1419120000</v>
      </c>
      <c r="AB175" s="23" t="str">
        <f t="shared" si="31"/>
        <v>4</v>
      </c>
      <c r="AC175" s="19">
        <f>AVERAGE(Data!I356:BN356)</f>
        <v>788400000</v>
      </c>
      <c r="AD175" s="23" t="str">
        <f t="shared" si="32"/>
        <v>4</v>
      </c>
      <c r="AE175" s="38">
        <f t="shared" si="33"/>
        <v>1261440000</v>
      </c>
      <c r="AF175" s="41">
        <f>Data!I357</f>
        <v>0.63157894736842102</v>
      </c>
      <c r="AG175" s="19">
        <f>((Data!J357-Data!I357)+(Data!K357-Data!J357)+(Data!L357-Data!K357)+(Data!M357-Data!L357))/4</f>
        <v>-8.2313341493268036E-2</v>
      </c>
    </row>
    <row r="176" spans="1:118" s="3" customFormat="1" ht="12" customHeight="1" x14ac:dyDescent="0.2">
      <c r="A176" s="27">
        <v>43896</v>
      </c>
      <c r="B176" s="1" t="s">
        <v>224</v>
      </c>
      <c r="C176" s="1" t="s">
        <v>36</v>
      </c>
      <c r="D176" s="23">
        <v>1980</v>
      </c>
      <c r="E176" s="38">
        <v>1</v>
      </c>
      <c r="F176" s="23">
        <v>5</v>
      </c>
      <c r="G176" s="23">
        <v>5</v>
      </c>
      <c r="H176" s="23" t="s">
        <v>32</v>
      </c>
      <c r="I176" s="23" t="s">
        <v>197</v>
      </c>
      <c r="J176" s="22" t="s">
        <v>213</v>
      </c>
      <c r="K176" s="23">
        <f t="shared" si="27"/>
        <v>28</v>
      </c>
      <c r="L176" s="23">
        <f t="shared" si="26"/>
        <v>4</v>
      </c>
      <c r="M176" s="23">
        <v>1</v>
      </c>
      <c r="N176" s="23">
        <v>2</v>
      </c>
      <c r="O176" s="23">
        <v>0</v>
      </c>
      <c r="P176" s="23"/>
      <c r="Q176" s="23" t="s">
        <v>111</v>
      </c>
      <c r="R176" s="23">
        <f t="shared" si="28"/>
        <v>4</v>
      </c>
      <c r="S176" s="23" t="s">
        <v>11</v>
      </c>
      <c r="T176" s="22" t="s">
        <v>342</v>
      </c>
      <c r="U176" s="23">
        <f t="shared" si="29"/>
        <v>1</v>
      </c>
      <c r="V176" s="22">
        <v>80</v>
      </c>
      <c r="W176" s="23">
        <f t="shared" si="30"/>
        <v>400</v>
      </c>
      <c r="X176" s="23">
        <v>5</v>
      </c>
      <c r="Y176" s="38">
        <f>Data!I358</f>
        <v>157680000</v>
      </c>
      <c r="Z176" s="23" t="s">
        <v>229</v>
      </c>
      <c r="AA176" s="23">
        <f>45*365*24*60*60</f>
        <v>1419120000</v>
      </c>
      <c r="AB176" s="23" t="str">
        <f t="shared" si="31"/>
        <v>4</v>
      </c>
      <c r="AC176" s="19">
        <f>AVERAGE(Data!I358:BN358)</f>
        <v>788400000</v>
      </c>
      <c r="AD176" s="23" t="str">
        <f t="shared" si="32"/>
        <v>4</v>
      </c>
      <c r="AE176" s="38">
        <f t="shared" si="33"/>
        <v>1261440000</v>
      </c>
      <c r="AF176" s="41">
        <f>Data!I359</f>
        <v>0.90624999999999989</v>
      </c>
      <c r="AG176" s="19">
        <f>((Data!J359-Data!I359)+(Data!K359-Data!J359)+(Data!L359-Data!K359)+(Data!M359-Data!L359))/4</f>
        <v>-0.10422207446808507</v>
      </c>
    </row>
    <row r="177" spans="1:118" s="3" customFormat="1" ht="12" customHeight="1" x14ac:dyDescent="0.2">
      <c r="A177" s="27">
        <v>43902</v>
      </c>
      <c r="B177" s="32" t="s">
        <v>281</v>
      </c>
      <c r="C177" s="32" t="s">
        <v>81</v>
      </c>
      <c r="D177" s="31">
        <v>1989</v>
      </c>
      <c r="E177" s="44">
        <v>1</v>
      </c>
      <c r="F177" s="31">
        <v>23</v>
      </c>
      <c r="G177" s="31">
        <v>23</v>
      </c>
      <c r="H177" s="31" t="s">
        <v>32</v>
      </c>
      <c r="I177" s="31" t="s">
        <v>197</v>
      </c>
      <c r="J177" s="31" t="s">
        <v>208</v>
      </c>
      <c r="K177" s="31">
        <f t="shared" si="27"/>
        <v>26</v>
      </c>
      <c r="L177" s="31">
        <f t="shared" ref="L177:L208" si="34">IF(J177="syllables",1,IF(J177="trigrams",1,IF(J177="strings",1,IF(J177="visual array",1,IF(J177="characters",1,IF(J177="letters",1,IF(J177="free forms",1,IF(J177="odors",2,IF(J177="words",2,IF(J177="pictures",2,IF(J177="object pictures",2,IF(J177="faces",2,IF(J177="names",2,IF(J177="idioms","2",IF(J177="grades",2,IF(J177="syllable-digit pairs",3,IF(J177="trigram-word pairs",3,IF(J177="word-digit pairs",3,IF(J177="English-Swahili pairs",3,IF(J177="spatial position",3,IF(J177="word pairs",4,IF(J177="word triads",4,IF(J177="generated words",4,IF(J177="word definition pairs",4,IF(J177="math problems",4,IF(J177="famous faces",4,IF(J177="famous names",4,IF(J177="famous voices",4,IF(J177="television programs",4,IF(J177="race horses",4,IF(J177="new vocabulary",4,IF(J177="sentences",5,IF(J177="concepts",5,IF(J177="ad slides",5,IF(J177="scenes",5,IF(J177="famous scenes",5,IF(J177="poems",6,IF(J177="walk",6,IF(J177="faces and events",6,IF(J177="events and names",6,IF(J177="flashbulb",7,IF(J177="stories",7,IF(J177="course material",7,IF(J177="autobiographical",7,IF(J177="novels",7,IF(J177="public events",7,"99"))))))))))))))))))))))))))))))))))))))))))))))</f>
        <v>4</v>
      </c>
      <c r="M177" s="31">
        <v>1</v>
      </c>
      <c r="N177" s="43">
        <v>3</v>
      </c>
      <c r="O177" s="31">
        <v>0</v>
      </c>
      <c r="P177" s="31"/>
      <c r="Q177" s="31" t="s">
        <v>106</v>
      </c>
      <c r="R177" s="31">
        <f t="shared" si="28"/>
        <v>1</v>
      </c>
      <c r="S177" s="31" t="s">
        <v>31</v>
      </c>
      <c r="T177" s="46" t="s">
        <v>342</v>
      </c>
      <c r="U177" s="31">
        <f t="shared" si="29"/>
        <v>1</v>
      </c>
      <c r="V177" s="46">
        <v>132</v>
      </c>
      <c r="W177" s="31">
        <f t="shared" si="30"/>
        <v>3036</v>
      </c>
      <c r="X177" s="31">
        <v>5</v>
      </c>
      <c r="Y177" s="44">
        <f>Data!I360</f>
        <v>157680000</v>
      </c>
      <c r="Z177" s="31" t="s">
        <v>229</v>
      </c>
      <c r="AA177" s="31">
        <f>45*365*24*60*60</f>
        <v>1419120000</v>
      </c>
      <c r="AB177" s="31" t="str">
        <f t="shared" si="31"/>
        <v>4</v>
      </c>
      <c r="AC177" s="34">
        <f>AVERAGE(Data!I360:BN360)</f>
        <v>788400000</v>
      </c>
      <c r="AD177" s="31" t="str">
        <f t="shared" si="32"/>
        <v>4</v>
      </c>
      <c r="AE177" s="44">
        <f t="shared" si="33"/>
        <v>1261440000</v>
      </c>
      <c r="AF177" s="45">
        <f>Data!I361</f>
        <v>0.81132075471698106</v>
      </c>
      <c r="AG177" s="34">
        <f>((Data!J361-Data!I361)+(Data!K361-Data!J361)+(Data!L361-Data!K361)+(Data!M361-Data!L361))/4</f>
        <v>-3.6163522012578608E-2</v>
      </c>
    </row>
    <row r="178" spans="1:118" s="3" customFormat="1" ht="12" customHeight="1" x14ac:dyDescent="0.2">
      <c r="A178" s="27">
        <v>43979</v>
      </c>
      <c r="B178" s="32" t="s">
        <v>512</v>
      </c>
      <c r="C178" s="32" t="s">
        <v>36</v>
      </c>
      <c r="D178" s="31">
        <v>2010</v>
      </c>
      <c r="E178" s="44">
        <v>1</v>
      </c>
      <c r="F178" s="31">
        <v>11</v>
      </c>
      <c r="G178" s="31">
        <v>11</v>
      </c>
      <c r="H178" s="31" t="s">
        <v>26</v>
      </c>
      <c r="I178" s="31" t="s">
        <v>197</v>
      </c>
      <c r="J178" s="31" t="s">
        <v>12</v>
      </c>
      <c r="K178" s="31">
        <f t="shared" si="27"/>
        <v>9</v>
      </c>
      <c r="L178" s="31">
        <f t="shared" si="34"/>
        <v>2</v>
      </c>
      <c r="M178" s="31">
        <v>1</v>
      </c>
      <c r="N178" s="43">
        <v>1</v>
      </c>
      <c r="O178" s="31">
        <v>0</v>
      </c>
      <c r="P178" s="31"/>
      <c r="Q178" s="31" t="s">
        <v>106</v>
      </c>
      <c r="R178" s="31">
        <f t="shared" si="28"/>
        <v>1</v>
      </c>
      <c r="S178" s="31" t="s">
        <v>11</v>
      </c>
      <c r="T178" s="46" t="s">
        <v>342</v>
      </c>
      <c r="U178" s="31">
        <f t="shared" si="29"/>
        <v>1</v>
      </c>
      <c r="V178" s="46">
        <v>120</v>
      </c>
      <c r="W178" s="31">
        <f t="shared" si="30"/>
        <v>1320</v>
      </c>
      <c r="X178" s="31">
        <v>6</v>
      </c>
      <c r="Y178" s="44">
        <f>Data!I362</f>
        <v>2</v>
      </c>
      <c r="Z178" s="31" t="s">
        <v>99</v>
      </c>
      <c r="AA178" s="31">
        <f>60*60*24*7*3</f>
        <v>1814400</v>
      </c>
      <c r="AB178" s="31" t="str">
        <f t="shared" si="31"/>
        <v>4</v>
      </c>
      <c r="AC178" s="34">
        <f>AVERAGE(Data!I362:BN362)</f>
        <v>417907</v>
      </c>
      <c r="AD178" s="31" t="str">
        <f t="shared" si="32"/>
        <v>3</v>
      </c>
      <c r="AE178" s="44">
        <f t="shared" si="33"/>
        <v>1814398</v>
      </c>
      <c r="AF178" s="45">
        <f>Data!I363</f>
        <v>0.84312749003984</v>
      </c>
      <c r="AG178" s="34">
        <f>((Data!J363-Data!I363)+(Data!K363-Data!J363)+(Data!L363-Data!K363)+(Data!M363-Data!L363)+(Data!N363-Data!M363))/5</f>
        <v>-4.795816733067719E-2</v>
      </c>
    </row>
    <row r="179" spans="1:118" s="3" customFormat="1" ht="12" customHeight="1" x14ac:dyDescent="0.25">
      <c r="A179" s="27">
        <v>43509</v>
      </c>
      <c r="B179" s="48" t="s">
        <v>172</v>
      </c>
      <c r="C179" s="48" t="s">
        <v>173</v>
      </c>
      <c r="D179" s="46">
        <v>2015</v>
      </c>
      <c r="E179" s="56">
        <v>1</v>
      </c>
      <c r="F179" s="46">
        <v>1</v>
      </c>
      <c r="G179" s="46">
        <v>1</v>
      </c>
      <c r="H179" s="58" t="s">
        <v>20</v>
      </c>
      <c r="I179" s="46" t="s">
        <v>486</v>
      </c>
      <c r="J179" s="46" t="s">
        <v>174</v>
      </c>
      <c r="K179" s="31">
        <f t="shared" si="27"/>
        <v>1</v>
      </c>
      <c r="L179" s="31">
        <f t="shared" si="34"/>
        <v>1</v>
      </c>
      <c r="M179" s="46">
        <v>1</v>
      </c>
      <c r="N179" s="46">
        <v>3</v>
      </c>
      <c r="O179" s="46">
        <v>0</v>
      </c>
      <c r="P179" s="46"/>
      <c r="Q179" s="46" t="s">
        <v>59</v>
      </c>
      <c r="R179" s="31">
        <f t="shared" si="28"/>
        <v>5</v>
      </c>
      <c r="S179" s="46" t="s">
        <v>66</v>
      </c>
      <c r="T179" s="46" t="s">
        <v>342</v>
      </c>
      <c r="U179" s="31">
        <f t="shared" si="29"/>
        <v>1</v>
      </c>
      <c r="V179" s="46">
        <v>7280</v>
      </c>
      <c r="W179" s="31">
        <f t="shared" si="30"/>
        <v>7280</v>
      </c>
      <c r="X179" s="46">
        <v>7</v>
      </c>
      <c r="Y179" s="44">
        <f>Data!I364</f>
        <v>30</v>
      </c>
      <c r="Z179" s="46" t="s">
        <v>175</v>
      </c>
      <c r="AA179" s="46">
        <f>31*24*3600</f>
        <v>2678400</v>
      </c>
      <c r="AB179" s="31" t="str">
        <f t="shared" si="31"/>
        <v>4</v>
      </c>
      <c r="AC179" s="34">
        <f>AVERAGE(Data!J364:BN364)</f>
        <v>499028.57142857142</v>
      </c>
      <c r="AD179" s="31" t="str">
        <f t="shared" si="32"/>
        <v>3</v>
      </c>
      <c r="AE179" s="44">
        <f t="shared" si="33"/>
        <v>2678370</v>
      </c>
      <c r="AF179" s="45">
        <f>Data!I365</f>
        <v>1</v>
      </c>
      <c r="AG179" s="34">
        <f>((Data!J365-Data!I365)+(Data!K365-Data!J365)+(Data!L365-Data!K365)+(Data!M365-Data!L365)+(Data!N365-Data!M365)+(Data!O365-Data!N365))/6</f>
        <v>-0.11516666666666668</v>
      </c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</row>
    <row r="180" spans="1:118" s="3" customFormat="1" ht="12" customHeight="1" x14ac:dyDescent="0.25">
      <c r="A180" s="27">
        <v>43509</v>
      </c>
      <c r="B180" s="48" t="s">
        <v>172</v>
      </c>
      <c r="C180" s="48" t="s">
        <v>173</v>
      </c>
      <c r="D180" s="46">
        <v>2015</v>
      </c>
      <c r="E180" s="56">
        <v>1</v>
      </c>
      <c r="F180" s="46">
        <v>1</v>
      </c>
      <c r="G180" s="46">
        <v>1</v>
      </c>
      <c r="H180" s="58" t="s">
        <v>20</v>
      </c>
      <c r="I180" s="46" t="s">
        <v>487</v>
      </c>
      <c r="J180" s="46" t="s">
        <v>174</v>
      </c>
      <c r="K180" s="31">
        <f t="shared" si="27"/>
        <v>1</v>
      </c>
      <c r="L180" s="31">
        <f t="shared" si="34"/>
        <v>1</v>
      </c>
      <c r="M180" s="46">
        <v>1</v>
      </c>
      <c r="N180" s="46">
        <v>3</v>
      </c>
      <c r="O180" s="46">
        <v>0</v>
      </c>
      <c r="P180" s="46"/>
      <c r="Q180" s="46" t="s">
        <v>59</v>
      </c>
      <c r="R180" s="31">
        <f t="shared" si="28"/>
        <v>5</v>
      </c>
      <c r="S180" s="46" t="s">
        <v>66</v>
      </c>
      <c r="T180" s="46" t="s">
        <v>342</v>
      </c>
      <c r="U180" s="31">
        <f t="shared" si="29"/>
        <v>1</v>
      </c>
      <c r="V180" s="46">
        <v>7280</v>
      </c>
      <c r="W180" s="31">
        <f t="shared" si="30"/>
        <v>7280</v>
      </c>
      <c r="X180" s="46">
        <v>7</v>
      </c>
      <c r="Y180" s="44">
        <f>Data!I366</f>
        <v>30</v>
      </c>
      <c r="Z180" s="46" t="s">
        <v>175</v>
      </c>
      <c r="AA180" s="46">
        <f>31*24*3600</f>
        <v>2678400</v>
      </c>
      <c r="AB180" s="31" t="str">
        <f t="shared" si="31"/>
        <v>4</v>
      </c>
      <c r="AC180" s="34">
        <f>AVERAGE(Data!I366:BN366)</f>
        <v>436653.75</v>
      </c>
      <c r="AD180" s="31" t="str">
        <f t="shared" si="32"/>
        <v>3</v>
      </c>
      <c r="AE180" s="44">
        <f t="shared" si="33"/>
        <v>2678370</v>
      </c>
      <c r="AF180" s="45">
        <f>Data!I367</f>
        <v>1</v>
      </c>
      <c r="AG180" s="34">
        <f>((Data!J367-Data!I367)+(Data!K367-Data!J367)+(Data!L367-Data!K367)+(Data!M367-Data!L367)+(Data!N367-Data!M367)+(Data!O367-Data!N367))/6</f>
        <v>-0.13250000000000001</v>
      </c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</row>
    <row r="181" spans="1:118" s="3" customFormat="1" ht="12" customHeight="1" x14ac:dyDescent="0.25">
      <c r="A181" s="27">
        <v>43509</v>
      </c>
      <c r="B181" s="48" t="s">
        <v>172</v>
      </c>
      <c r="C181" s="48" t="s">
        <v>173</v>
      </c>
      <c r="D181" s="46">
        <v>2015</v>
      </c>
      <c r="E181" s="56">
        <v>1</v>
      </c>
      <c r="F181" s="46">
        <v>1</v>
      </c>
      <c r="G181" s="46">
        <v>1</v>
      </c>
      <c r="H181" s="58" t="s">
        <v>20</v>
      </c>
      <c r="I181" s="46" t="s">
        <v>488</v>
      </c>
      <c r="J181" s="46" t="s">
        <v>174</v>
      </c>
      <c r="K181" s="31">
        <f t="shared" si="27"/>
        <v>1</v>
      </c>
      <c r="L181" s="31">
        <f t="shared" si="34"/>
        <v>1</v>
      </c>
      <c r="M181" s="46">
        <v>1</v>
      </c>
      <c r="N181" s="46">
        <v>3</v>
      </c>
      <c r="O181" s="46">
        <v>0</v>
      </c>
      <c r="P181" s="46"/>
      <c r="Q181" s="46" t="s">
        <v>59</v>
      </c>
      <c r="R181" s="31">
        <f t="shared" si="28"/>
        <v>5</v>
      </c>
      <c r="S181" s="46" t="s">
        <v>66</v>
      </c>
      <c r="T181" s="46" t="s">
        <v>342</v>
      </c>
      <c r="U181" s="31">
        <f t="shared" si="29"/>
        <v>1</v>
      </c>
      <c r="V181" s="46">
        <v>7280</v>
      </c>
      <c r="W181" s="31">
        <f t="shared" si="30"/>
        <v>7280</v>
      </c>
      <c r="X181" s="46">
        <v>7</v>
      </c>
      <c r="Y181" s="44">
        <f>Data!I368</f>
        <v>30</v>
      </c>
      <c r="Z181" s="46" t="s">
        <v>175</v>
      </c>
      <c r="AA181" s="46">
        <f>31*24*3600</f>
        <v>2678400</v>
      </c>
      <c r="AB181" s="31" t="str">
        <f t="shared" si="31"/>
        <v>4</v>
      </c>
      <c r="AC181" s="34">
        <f>AVERAGE(Data!I368:BN368)</f>
        <v>436653.75</v>
      </c>
      <c r="AD181" s="31" t="str">
        <f t="shared" si="32"/>
        <v>3</v>
      </c>
      <c r="AE181" s="44">
        <f t="shared" si="33"/>
        <v>2678370</v>
      </c>
      <c r="AF181" s="45">
        <f>Data!J369</f>
        <v>0.47199999999999998</v>
      </c>
      <c r="AG181" s="34">
        <f>((Data!K369-Data!J369)+(Data!L369-Data!K369)+(Data!M369-Data!L369)+(Data!N369-Data!M369)+(Data!O369-Data!N369)+(Data!P369-Data!O369))/6</f>
        <v>-7.1833333333333318E-2</v>
      </c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</row>
    <row r="182" spans="1:118" s="3" customFormat="1" ht="12" customHeight="1" x14ac:dyDescent="0.2">
      <c r="A182" s="27">
        <v>43509</v>
      </c>
      <c r="B182" s="1" t="s">
        <v>156</v>
      </c>
      <c r="C182" s="1" t="s">
        <v>93</v>
      </c>
      <c r="D182" s="23">
        <v>1980</v>
      </c>
      <c r="E182" s="38">
        <v>1</v>
      </c>
      <c r="F182" s="23">
        <v>126</v>
      </c>
      <c r="G182" s="23">
        <v>21</v>
      </c>
      <c r="H182" s="23" t="s">
        <v>32</v>
      </c>
      <c r="I182" s="23" t="s">
        <v>491</v>
      </c>
      <c r="J182" s="23" t="s">
        <v>61</v>
      </c>
      <c r="K182" s="23">
        <f t="shared" si="27"/>
        <v>18</v>
      </c>
      <c r="L182" s="23">
        <f t="shared" si="34"/>
        <v>3</v>
      </c>
      <c r="M182" s="23">
        <v>1</v>
      </c>
      <c r="N182" s="23">
        <v>2</v>
      </c>
      <c r="O182" s="23">
        <v>0</v>
      </c>
      <c r="P182" s="23"/>
      <c r="Q182" s="23" t="s">
        <v>106</v>
      </c>
      <c r="R182" s="23">
        <f t="shared" si="28"/>
        <v>1</v>
      </c>
      <c r="S182" s="23" t="s">
        <v>31</v>
      </c>
      <c r="T182" s="23" t="s">
        <v>163</v>
      </c>
      <c r="U182" s="23">
        <f t="shared" si="29"/>
        <v>0</v>
      </c>
      <c r="V182" s="23">
        <v>20</v>
      </c>
      <c r="W182" s="23">
        <f t="shared" si="30"/>
        <v>2520</v>
      </c>
      <c r="X182" s="23">
        <v>5</v>
      </c>
      <c r="Y182" s="38">
        <f>Data!I370</f>
        <v>604800</v>
      </c>
      <c r="Z182" s="23" t="s">
        <v>94</v>
      </c>
      <c r="AA182" s="23">
        <v>4233600</v>
      </c>
      <c r="AB182" s="23" t="str">
        <f t="shared" si="31"/>
        <v>4</v>
      </c>
      <c r="AC182" s="19">
        <f>AVERAGE(Data!I370:BN370)</f>
        <v>2419200</v>
      </c>
      <c r="AD182" s="23" t="str">
        <f t="shared" si="32"/>
        <v>4</v>
      </c>
      <c r="AE182" s="38">
        <f t="shared" si="33"/>
        <v>3628800</v>
      </c>
      <c r="AF182" s="41">
        <f>Data!I371</f>
        <v>0.411373036524952</v>
      </c>
      <c r="AG182" s="19">
        <f>((Data!J371-Data!I371)+(Data!K371-Data!J371)+(Data!L371-Data!K371)+(Data!M371-Data!L371))/4</f>
        <v>-6.7294820455050003E-2</v>
      </c>
    </row>
    <row r="183" spans="1:118" s="3" customFormat="1" ht="12" customHeight="1" x14ac:dyDescent="0.2">
      <c r="A183" s="27">
        <v>43979</v>
      </c>
      <c r="B183" s="1" t="s">
        <v>513</v>
      </c>
      <c r="C183" s="1" t="s">
        <v>246</v>
      </c>
      <c r="D183" s="23">
        <v>1997</v>
      </c>
      <c r="E183" s="38">
        <v>1</v>
      </c>
      <c r="F183" s="23">
        <v>15</v>
      </c>
      <c r="G183" s="23">
        <v>15</v>
      </c>
      <c r="H183" s="23" t="s">
        <v>25</v>
      </c>
      <c r="I183" s="23" t="s">
        <v>197</v>
      </c>
      <c r="J183" s="23" t="s">
        <v>241</v>
      </c>
      <c r="K183" s="23">
        <f t="shared" si="27"/>
        <v>40</v>
      </c>
      <c r="L183" s="23">
        <f t="shared" si="34"/>
        <v>6</v>
      </c>
      <c r="M183" s="23">
        <v>1</v>
      </c>
      <c r="N183" s="23">
        <v>4</v>
      </c>
      <c r="O183" s="23">
        <v>0</v>
      </c>
      <c r="P183" s="23"/>
      <c r="Q183" s="23" t="s">
        <v>111</v>
      </c>
      <c r="R183" s="23">
        <f t="shared" si="28"/>
        <v>4</v>
      </c>
      <c r="S183" s="25" t="s">
        <v>11</v>
      </c>
      <c r="T183" s="23" t="s">
        <v>342</v>
      </c>
      <c r="U183" s="23">
        <f t="shared" si="29"/>
        <v>1</v>
      </c>
      <c r="V183" s="23">
        <v>40</v>
      </c>
      <c r="W183" s="23">
        <f t="shared" si="30"/>
        <v>600</v>
      </c>
      <c r="X183" s="23">
        <v>8</v>
      </c>
      <c r="Y183" s="38">
        <f>Data!I372</f>
        <v>183168000</v>
      </c>
      <c r="Z183" s="23" t="s">
        <v>261</v>
      </c>
      <c r="AA183" s="23">
        <f>60*60*24*365*43</f>
        <v>1356048000</v>
      </c>
      <c r="AB183" s="23" t="str">
        <f t="shared" si="31"/>
        <v>4</v>
      </c>
      <c r="AC183" s="19">
        <f>AVERAGE(Data!I372:BN372)</f>
        <v>583848000</v>
      </c>
      <c r="AD183" s="23" t="str">
        <f t="shared" si="32"/>
        <v>4</v>
      </c>
      <c r="AE183" s="38">
        <f t="shared" si="33"/>
        <v>1172880000</v>
      </c>
      <c r="AF183" s="41">
        <f>Data!I373</f>
        <v>0.71297933899288912</v>
      </c>
      <c r="AG183" s="19">
        <f>((Data!J373-Data!I373)+(Data!K373-Data!J373)+(Data!L373-Data!K373)+(Data!M373-Data!L373)+(Data!N373-Data!M373)+(Data!O373-Data!N373)+(Data!P373-Data!O373))/7</f>
        <v>-8.7405458119977159E-2</v>
      </c>
    </row>
    <row r="184" spans="1:118" s="3" customFormat="1" ht="12" customHeight="1" x14ac:dyDescent="0.2">
      <c r="A184" s="27">
        <v>43979</v>
      </c>
      <c r="B184" s="1" t="s">
        <v>513</v>
      </c>
      <c r="C184" s="1" t="s">
        <v>246</v>
      </c>
      <c r="D184" s="23">
        <v>1997</v>
      </c>
      <c r="E184" s="38">
        <v>1</v>
      </c>
      <c r="F184" s="23">
        <v>1</v>
      </c>
      <c r="G184" s="23">
        <v>1</v>
      </c>
      <c r="H184" s="23" t="s">
        <v>26</v>
      </c>
      <c r="I184" s="23" t="s">
        <v>197</v>
      </c>
      <c r="J184" s="23" t="s">
        <v>12</v>
      </c>
      <c r="K184" s="23">
        <f t="shared" si="27"/>
        <v>9</v>
      </c>
      <c r="L184" s="23">
        <f t="shared" si="34"/>
        <v>2</v>
      </c>
      <c r="M184" s="23">
        <v>1</v>
      </c>
      <c r="N184" s="23">
        <v>2</v>
      </c>
      <c r="O184" s="23">
        <v>0</v>
      </c>
      <c r="P184" s="23"/>
      <c r="Q184" s="23" t="s">
        <v>106</v>
      </c>
      <c r="R184" s="23">
        <f t="shared" si="28"/>
        <v>1</v>
      </c>
      <c r="S184" s="25" t="s">
        <v>11</v>
      </c>
      <c r="T184" s="23" t="s">
        <v>342</v>
      </c>
      <c r="U184" s="23">
        <f t="shared" si="29"/>
        <v>1</v>
      </c>
      <c r="V184" s="23">
        <v>60</v>
      </c>
      <c r="W184" s="23">
        <f t="shared" si="30"/>
        <v>60</v>
      </c>
      <c r="X184" s="23">
        <v>6</v>
      </c>
      <c r="Y184" s="38">
        <f>Data!I374</f>
        <v>7200</v>
      </c>
      <c r="Z184" s="23" t="s">
        <v>89</v>
      </c>
      <c r="AA184" s="23">
        <f>60*60*24*7</f>
        <v>604800</v>
      </c>
      <c r="AB184" s="23" t="str">
        <f t="shared" si="31"/>
        <v>3</v>
      </c>
      <c r="AC184" s="19">
        <f>AVERAGE(Data!I374:BN374)</f>
        <v>225600</v>
      </c>
      <c r="AD184" s="23" t="str">
        <f t="shared" si="32"/>
        <v>3</v>
      </c>
      <c r="AE184" s="38">
        <f t="shared" si="33"/>
        <v>597600</v>
      </c>
      <c r="AF184" s="41">
        <f>Data!I375</f>
        <v>1</v>
      </c>
      <c r="AG184" s="19">
        <f>((Data!J375-Data!I375)+(Data!K375-Data!J375)+(Data!L375-Data!K375)+(Data!M375-Data!L375)+(Data!N375-Data!M375))/5</f>
        <v>-3.9999999999999994E-2</v>
      </c>
    </row>
    <row r="185" spans="1:118" s="3" customFormat="1" ht="12" customHeight="1" x14ac:dyDescent="0.2">
      <c r="A185" s="27">
        <v>43903</v>
      </c>
      <c r="B185" s="32" t="s">
        <v>289</v>
      </c>
      <c r="C185" s="32" t="s">
        <v>164</v>
      </c>
      <c r="D185" s="31">
        <v>2020</v>
      </c>
      <c r="E185" s="44">
        <v>1</v>
      </c>
      <c r="F185" s="31">
        <v>13</v>
      </c>
      <c r="G185" s="31">
        <v>13</v>
      </c>
      <c r="H185" s="31" t="s">
        <v>433</v>
      </c>
      <c r="I185" s="31" t="s">
        <v>473</v>
      </c>
      <c r="J185" s="31" t="s">
        <v>375</v>
      </c>
      <c r="K185" s="31">
        <f t="shared" si="27"/>
        <v>44</v>
      </c>
      <c r="L185" s="31">
        <f t="shared" si="34"/>
        <v>7</v>
      </c>
      <c r="M185" s="31">
        <v>0</v>
      </c>
      <c r="N185" s="43">
        <v>3</v>
      </c>
      <c r="O185" s="31">
        <v>0</v>
      </c>
      <c r="P185" s="31"/>
      <c r="Q185" s="31" t="s">
        <v>45</v>
      </c>
      <c r="R185" s="31">
        <f t="shared" si="28"/>
        <v>2</v>
      </c>
      <c r="S185" s="31" t="s">
        <v>31</v>
      </c>
      <c r="T185" s="46" t="s">
        <v>342</v>
      </c>
      <c r="U185" s="31">
        <f t="shared" si="29"/>
        <v>1</v>
      </c>
      <c r="V185" s="46">
        <v>12</v>
      </c>
      <c r="W185" s="31">
        <f t="shared" si="30"/>
        <v>156</v>
      </c>
      <c r="X185" s="31">
        <v>12</v>
      </c>
      <c r="Y185" s="44">
        <f>Data!I376</f>
        <v>604800</v>
      </c>
      <c r="Z185" s="31" t="s">
        <v>474</v>
      </c>
      <c r="AA185" s="31">
        <v>7430400</v>
      </c>
      <c r="AB185" s="31" t="str">
        <f t="shared" si="31"/>
        <v>4</v>
      </c>
      <c r="AC185" s="34">
        <f>AVERAGE(Data!I376:BN376)</f>
        <v>3931200</v>
      </c>
      <c r="AD185" s="31" t="str">
        <f t="shared" si="32"/>
        <v>4</v>
      </c>
      <c r="AE185" s="44">
        <f t="shared" si="33"/>
        <v>6825600</v>
      </c>
      <c r="AF185" s="45">
        <f>Data!I377</f>
        <v>0.79589743589743622</v>
      </c>
      <c r="AG185" s="34">
        <f>((Data!J377-Data!I377)+(Data!K377-Data!J377)+(Data!L377-Data!K377)+(Data!M377-Data!L377)+(Data!N377-Data!M377)+(Data!O377-Data!N377)+(Data!P377-Data!O377)+(Data!Q377-Data!P377)+(Data!R377-Data!Q377)+(Data!S377-Data!R377)+(Data!T377-Data!S377))/11</f>
        <v>-4.5550793292728799E-2</v>
      </c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4"/>
    </row>
    <row r="186" spans="1:118" s="3" customFormat="1" ht="12" customHeight="1" x14ac:dyDescent="0.2">
      <c r="A186" s="27">
        <v>43903</v>
      </c>
      <c r="B186" s="32" t="s">
        <v>289</v>
      </c>
      <c r="C186" s="32" t="s">
        <v>164</v>
      </c>
      <c r="D186" s="31">
        <v>2020</v>
      </c>
      <c r="E186" s="44">
        <v>1</v>
      </c>
      <c r="F186" s="31">
        <v>13</v>
      </c>
      <c r="G186" s="31">
        <v>13</v>
      </c>
      <c r="H186" s="31" t="s">
        <v>433</v>
      </c>
      <c r="I186" s="31" t="s">
        <v>475</v>
      </c>
      <c r="J186" s="31" t="s">
        <v>375</v>
      </c>
      <c r="K186" s="31">
        <f t="shared" si="27"/>
        <v>44</v>
      </c>
      <c r="L186" s="31">
        <f t="shared" si="34"/>
        <v>7</v>
      </c>
      <c r="M186" s="31">
        <v>0</v>
      </c>
      <c r="N186" s="43">
        <v>3</v>
      </c>
      <c r="O186" s="31">
        <v>0</v>
      </c>
      <c r="P186" s="31"/>
      <c r="Q186" s="31" t="s">
        <v>45</v>
      </c>
      <c r="R186" s="31">
        <f t="shared" si="28"/>
        <v>2</v>
      </c>
      <c r="S186" s="31" t="s">
        <v>31</v>
      </c>
      <c r="T186" s="46" t="s">
        <v>342</v>
      </c>
      <c r="U186" s="31">
        <f t="shared" si="29"/>
        <v>1</v>
      </c>
      <c r="V186" s="46">
        <v>12</v>
      </c>
      <c r="W186" s="31">
        <f t="shared" si="30"/>
        <v>156</v>
      </c>
      <c r="X186" s="31">
        <v>12</v>
      </c>
      <c r="Y186" s="44">
        <f>Data!I378</f>
        <v>604800</v>
      </c>
      <c r="Z186" s="31" t="s">
        <v>474</v>
      </c>
      <c r="AA186" s="31">
        <v>7430400</v>
      </c>
      <c r="AB186" s="31" t="str">
        <f t="shared" si="31"/>
        <v>4</v>
      </c>
      <c r="AC186" s="34">
        <f>AVERAGE(Data!I378:BN378)</f>
        <v>3931200</v>
      </c>
      <c r="AD186" s="31" t="str">
        <f t="shared" si="32"/>
        <v>4</v>
      </c>
      <c r="AE186" s="44">
        <f t="shared" si="33"/>
        <v>6825600</v>
      </c>
      <c r="AF186" s="45">
        <f>Data!I379</f>
        <v>0.84729729729729752</v>
      </c>
      <c r="AG186" s="34">
        <f>((Data!J379-Data!I379)+(Data!K379-Data!J379)+(Data!L379-Data!K379)+(Data!M379-Data!L379)+(Data!N379-Data!M379)+(Data!O379-Data!N379)+(Data!P379-Data!O379)+(Data!Q379-Data!P379)+(Data!R379-Data!Q379)+(Data!S379-Data!R379)+(Data!T379-Data!S379))/11</f>
        <v>-1.968818405182042E-2</v>
      </c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</row>
    <row r="187" spans="1:118" ht="12" customHeight="1" x14ac:dyDescent="0.2">
      <c r="A187" s="27">
        <v>43903</v>
      </c>
      <c r="B187" s="32" t="s">
        <v>289</v>
      </c>
      <c r="C187" s="32" t="s">
        <v>164</v>
      </c>
      <c r="D187" s="31">
        <v>2020</v>
      </c>
      <c r="E187" s="44">
        <v>1</v>
      </c>
      <c r="F187" s="31">
        <v>13</v>
      </c>
      <c r="G187" s="31">
        <v>13</v>
      </c>
      <c r="H187" s="31" t="s">
        <v>433</v>
      </c>
      <c r="I187" s="31" t="s">
        <v>464</v>
      </c>
      <c r="J187" s="31" t="s">
        <v>375</v>
      </c>
      <c r="K187" s="31">
        <f t="shared" si="27"/>
        <v>44</v>
      </c>
      <c r="L187" s="31">
        <f t="shared" si="34"/>
        <v>7</v>
      </c>
      <c r="M187" s="31">
        <v>0</v>
      </c>
      <c r="N187" s="43">
        <v>3</v>
      </c>
      <c r="O187" s="31">
        <v>0</v>
      </c>
      <c r="P187" s="31"/>
      <c r="Q187" s="31" t="s">
        <v>45</v>
      </c>
      <c r="R187" s="31">
        <f t="shared" si="28"/>
        <v>2</v>
      </c>
      <c r="S187" s="31" t="s">
        <v>31</v>
      </c>
      <c r="T187" s="46" t="s">
        <v>342</v>
      </c>
      <c r="U187" s="31">
        <f t="shared" si="29"/>
        <v>1</v>
      </c>
      <c r="V187" s="46">
        <v>12</v>
      </c>
      <c r="W187" s="31">
        <f t="shared" si="30"/>
        <v>156</v>
      </c>
      <c r="X187" s="31">
        <v>12</v>
      </c>
      <c r="Y187" s="44">
        <f>Data!I380</f>
        <v>604800</v>
      </c>
      <c r="Z187" s="31" t="s">
        <v>474</v>
      </c>
      <c r="AA187" s="31">
        <v>7430400</v>
      </c>
      <c r="AB187" s="31" t="str">
        <f t="shared" si="31"/>
        <v>4</v>
      </c>
      <c r="AC187" s="34">
        <f>AVERAGE(Data!I380:BN380)</f>
        <v>3931200</v>
      </c>
      <c r="AD187" s="31" t="str">
        <f t="shared" si="32"/>
        <v>4</v>
      </c>
      <c r="AE187" s="44">
        <f t="shared" si="33"/>
        <v>6825600</v>
      </c>
      <c r="AF187" s="45">
        <f>Data!I381</f>
        <v>0.87804878048780488</v>
      </c>
      <c r="AG187" s="34">
        <f>((Data!J381-Data!I381)+(Data!K381-Data!J381)+(Data!L381-Data!K381)+(Data!M381-Data!L381)+(Data!N381-Data!M381)+(Data!O381-Data!N381)+(Data!P381-Data!O381)+(Data!Q381-Data!P381)+(Data!R381-Data!Q381)+(Data!S381-Data!R381)+(Data!T381-Data!S381))/11</f>
        <v>-1.164079822616408E-2</v>
      </c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3"/>
    </row>
    <row r="188" spans="1:118" ht="12" customHeight="1" x14ac:dyDescent="0.2">
      <c r="A188" s="27">
        <v>43903</v>
      </c>
      <c r="B188" s="32" t="s">
        <v>289</v>
      </c>
      <c r="C188" s="32" t="s">
        <v>164</v>
      </c>
      <c r="D188" s="31">
        <v>2020</v>
      </c>
      <c r="E188" s="44">
        <v>1</v>
      </c>
      <c r="F188" s="31">
        <v>13</v>
      </c>
      <c r="G188" s="31">
        <v>13</v>
      </c>
      <c r="H188" s="31" t="s">
        <v>433</v>
      </c>
      <c r="I188" s="31" t="s">
        <v>466</v>
      </c>
      <c r="J188" s="31" t="s">
        <v>375</v>
      </c>
      <c r="K188" s="31">
        <f t="shared" si="27"/>
        <v>44</v>
      </c>
      <c r="L188" s="31">
        <f t="shared" si="34"/>
        <v>7</v>
      </c>
      <c r="M188" s="31">
        <v>0</v>
      </c>
      <c r="N188" s="43">
        <v>3</v>
      </c>
      <c r="O188" s="31">
        <v>0</v>
      </c>
      <c r="P188" s="31"/>
      <c r="Q188" s="31" t="s">
        <v>45</v>
      </c>
      <c r="R188" s="31">
        <f t="shared" si="28"/>
        <v>2</v>
      </c>
      <c r="S188" s="31" t="s">
        <v>31</v>
      </c>
      <c r="T188" s="46" t="s">
        <v>342</v>
      </c>
      <c r="U188" s="31">
        <f t="shared" si="29"/>
        <v>1</v>
      </c>
      <c r="V188" s="46">
        <v>12</v>
      </c>
      <c r="W188" s="31">
        <f t="shared" si="30"/>
        <v>156</v>
      </c>
      <c r="X188" s="31">
        <v>12</v>
      </c>
      <c r="Y188" s="44">
        <f>Data!I382</f>
        <v>604800</v>
      </c>
      <c r="Z188" s="31" t="s">
        <v>474</v>
      </c>
      <c r="AA188" s="31">
        <v>7430400</v>
      </c>
      <c r="AB188" s="31" t="str">
        <f t="shared" si="31"/>
        <v>4</v>
      </c>
      <c r="AC188" s="34">
        <f>AVERAGE(Data!I382:BN382)</f>
        <v>3931200</v>
      </c>
      <c r="AD188" s="31" t="str">
        <f t="shared" si="32"/>
        <v>4</v>
      </c>
      <c r="AE188" s="44">
        <f t="shared" si="33"/>
        <v>6825600</v>
      </c>
      <c r="AF188" s="45">
        <f>Data!I383</f>
        <v>0.9464285714285714</v>
      </c>
      <c r="AG188" s="34">
        <f>((Data!J383-Data!I383)+(Data!K383-Data!J383)+(Data!L383-Data!K383)+(Data!M383-Data!L383)+(Data!N383-Data!M383)+(Data!O383-Data!N383)+(Data!P383-Data!O383)+(Data!Q383-Data!P383)+(Data!R383-Data!Q383)+(Data!S383-Data!R383)+(Data!T383-Data!S383))/11</f>
        <v>-1.0281385281385275E-2</v>
      </c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3"/>
    </row>
    <row r="189" spans="1:118" s="3" customFormat="1" ht="12" customHeight="1" x14ac:dyDescent="0.2">
      <c r="A189" s="27">
        <v>43903</v>
      </c>
      <c r="B189" s="32" t="s">
        <v>289</v>
      </c>
      <c r="C189" s="32" t="s">
        <v>164</v>
      </c>
      <c r="D189" s="31">
        <v>2020</v>
      </c>
      <c r="E189" s="44">
        <v>1</v>
      </c>
      <c r="F189" s="31">
        <v>13</v>
      </c>
      <c r="G189" s="31">
        <v>13</v>
      </c>
      <c r="H189" s="31" t="s">
        <v>433</v>
      </c>
      <c r="I189" s="31" t="s">
        <v>465</v>
      </c>
      <c r="J189" s="31" t="s">
        <v>375</v>
      </c>
      <c r="K189" s="31">
        <f t="shared" si="27"/>
        <v>44</v>
      </c>
      <c r="L189" s="31">
        <f t="shared" si="34"/>
        <v>7</v>
      </c>
      <c r="M189" s="31">
        <v>0</v>
      </c>
      <c r="N189" s="43">
        <v>3</v>
      </c>
      <c r="O189" s="31">
        <v>0</v>
      </c>
      <c r="P189" s="31"/>
      <c r="Q189" s="31" t="s">
        <v>45</v>
      </c>
      <c r="R189" s="31">
        <f t="shared" si="28"/>
        <v>2</v>
      </c>
      <c r="S189" s="31" t="s">
        <v>31</v>
      </c>
      <c r="T189" s="46" t="s">
        <v>342</v>
      </c>
      <c r="U189" s="31">
        <f t="shared" si="29"/>
        <v>1</v>
      </c>
      <c r="V189" s="46">
        <v>12</v>
      </c>
      <c r="W189" s="31">
        <f t="shared" si="30"/>
        <v>156</v>
      </c>
      <c r="X189" s="31">
        <v>12</v>
      </c>
      <c r="Y189" s="44">
        <f>Data!I384</f>
        <v>604800</v>
      </c>
      <c r="Z189" s="31" t="s">
        <v>474</v>
      </c>
      <c r="AA189" s="31">
        <v>7430400</v>
      </c>
      <c r="AB189" s="31" t="str">
        <f t="shared" si="31"/>
        <v>4</v>
      </c>
      <c r="AC189" s="34">
        <f>AVERAGE(Data!I384:BN384)</f>
        <v>3931200</v>
      </c>
      <c r="AD189" s="31" t="str">
        <f t="shared" si="32"/>
        <v>4</v>
      </c>
      <c r="AE189" s="44">
        <f t="shared" si="33"/>
        <v>6825600</v>
      </c>
      <c r="AF189" s="45">
        <f>Data!I385</f>
        <v>0.94625000000000004</v>
      </c>
      <c r="AG189" s="34">
        <f>((Data!J385-Data!I385)+(Data!K385-Data!J385)+(Data!L385-Data!K385)+(Data!M385-Data!L385)+(Data!N385-Data!M385)+(Data!O385-Data!N385)+(Data!P385-Data!O385)+(Data!Q385-Data!P385)+(Data!R385-Data!Q385)+(Data!S385-Data!R385)+(Data!T385-Data!S385))/11</f>
        <v>-1.3017676767676773E-2</v>
      </c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</row>
    <row r="190" spans="1:118" s="3" customFormat="1" ht="12" customHeight="1" x14ac:dyDescent="0.2">
      <c r="A190" s="27">
        <v>43903</v>
      </c>
      <c r="B190" s="32" t="s">
        <v>289</v>
      </c>
      <c r="C190" s="32" t="s">
        <v>164</v>
      </c>
      <c r="D190" s="31">
        <v>2020</v>
      </c>
      <c r="E190" s="44">
        <v>1</v>
      </c>
      <c r="F190" s="31">
        <v>13</v>
      </c>
      <c r="G190" s="31">
        <v>13</v>
      </c>
      <c r="H190" s="31" t="s">
        <v>433</v>
      </c>
      <c r="I190" s="31" t="s">
        <v>476</v>
      </c>
      <c r="J190" s="31" t="s">
        <v>375</v>
      </c>
      <c r="K190" s="31">
        <f t="shared" si="27"/>
        <v>44</v>
      </c>
      <c r="L190" s="31">
        <f t="shared" si="34"/>
        <v>7</v>
      </c>
      <c r="M190" s="31">
        <v>0</v>
      </c>
      <c r="N190" s="43">
        <v>3</v>
      </c>
      <c r="O190" s="31">
        <v>0</v>
      </c>
      <c r="P190" s="31"/>
      <c r="Q190" s="31" t="s">
        <v>45</v>
      </c>
      <c r="R190" s="31">
        <f t="shared" si="28"/>
        <v>2</v>
      </c>
      <c r="S190" s="31" t="s">
        <v>31</v>
      </c>
      <c r="T190" s="46" t="s">
        <v>342</v>
      </c>
      <c r="U190" s="31">
        <f t="shared" si="29"/>
        <v>1</v>
      </c>
      <c r="V190" s="46">
        <v>12</v>
      </c>
      <c r="W190" s="31">
        <f t="shared" si="30"/>
        <v>156</v>
      </c>
      <c r="X190" s="31">
        <v>12</v>
      </c>
      <c r="Y190" s="44">
        <f>Data!I386</f>
        <v>604800</v>
      </c>
      <c r="Z190" s="31" t="s">
        <v>474</v>
      </c>
      <c r="AA190" s="31">
        <v>7430400</v>
      </c>
      <c r="AB190" s="31" t="str">
        <f t="shared" si="31"/>
        <v>4</v>
      </c>
      <c r="AC190" s="34">
        <f>AVERAGE(Data!I386:BN386)</f>
        <v>3931200</v>
      </c>
      <c r="AD190" s="31" t="str">
        <f t="shared" si="32"/>
        <v>4</v>
      </c>
      <c r="AE190" s="44">
        <f t="shared" si="33"/>
        <v>6825600</v>
      </c>
      <c r="AF190" s="45">
        <f>Data!I387</f>
        <v>0.78260869565217395</v>
      </c>
      <c r="AG190" s="34">
        <f>((Data!J387-Data!I387)+(Data!K387-Data!J387)+(Data!L387-Data!K387)+(Data!M387-Data!L387)+(Data!N387-Data!M387)+(Data!O387-Data!N387)+(Data!P387-Data!O387)+(Data!Q387-Data!P387)+(Data!R387-Data!Q387)+(Data!S387-Data!R387)+(Data!T387-Data!S387))/11</f>
        <v>-8.1478399556202744E-3</v>
      </c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</row>
    <row r="191" spans="1:118" s="3" customFormat="1" ht="12" customHeight="1" x14ac:dyDescent="0.2">
      <c r="A191" s="27">
        <v>43896</v>
      </c>
      <c r="B191" s="1" t="s">
        <v>225</v>
      </c>
      <c r="C191" s="1" t="s">
        <v>226</v>
      </c>
      <c r="D191" s="23">
        <v>1991</v>
      </c>
      <c r="E191" s="38">
        <v>1</v>
      </c>
      <c r="F191" s="23">
        <v>10</v>
      </c>
      <c r="G191" s="23">
        <v>10</v>
      </c>
      <c r="H191" s="23" t="s">
        <v>32</v>
      </c>
      <c r="I191" s="23" t="s">
        <v>197</v>
      </c>
      <c r="J191" s="23" t="s">
        <v>206</v>
      </c>
      <c r="K191" s="23">
        <f t="shared" si="27"/>
        <v>46</v>
      </c>
      <c r="L191" s="23">
        <f t="shared" si="34"/>
        <v>7</v>
      </c>
      <c r="M191" s="23">
        <v>1</v>
      </c>
      <c r="N191" s="23">
        <v>4</v>
      </c>
      <c r="O191" s="23">
        <v>0</v>
      </c>
      <c r="P191" s="23"/>
      <c r="Q191" s="23" t="s">
        <v>106</v>
      </c>
      <c r="R191" s="23">
        <f t="shared" si="28"/>
        <v>1</v>
      </c>
      <c r="S191" s="23" t="s">
        <v>31</v>
      </c>
      <c r="T191" s="23" t="s">
        <v>342</v>
      </c>
      <c r="U191" s="23">
        <f t="shared" si="29"/>
        <v>1</v>
      </c>
      <c r="V191" s="23">
        <v>40</v>
      </c>
      <c r="W191" s="23">
        <f t="shared" si="30"/>
        <v>400</v>
      </c>
      <c r="X191" s="23">
        <v>6</v>
      </c>
      <c r="Y191" s="38">
        <f>Data!I388</f>
        <v>94608000</v>
      </c>
      <c r="Z191" s="23" t="s">
        <v>265</v>
      </c>
      <c r="AA191" s="23">
        <f>28*365*24*60*60</f>
        <v>883008000</v>
      </c>
      <c r="AB191" s="23" t="str">
        <f t="shared" si="31"/>
        <v>4</v>
      </c>
      <c r="AC191" s="19">
        <f>AVERAGE(Data!I388:BN388)</f>
        <v>488808000</v>
      </c>
      <c r="AD191" s="23" t="str">
        <f t="shared" si="32"/>
        <v>4</v>
      </c>
      <c r="AE191" s="38">
        <f t="shared" si="33"/>
        <v>788400000</v>
      </c>
      <c r="AF191" s="41">
        <f>Data!I389</f>
        <v>0.88</v>
      </c>
      <c r="AG191" s="19">
        <f>((Data!J389-Data!I389)+(Data!K389-Data!J389)+(Data!L389-Data!K389)+(Data!M389-Data!L389)+(Data!N389-Data!M389))/5</f>
        <v>-8.0000000000000071E-3</v>
      </c>
    </row>
    <row r="192" spans="1:118" s="3" customFormat="1" ht="12" customHeight="1" x14ac:dyDescent="0.2">
      <c r="A192" s="27">
        <v>43896</v>
      </c>
      <c r="B192" s="1" t="s">
        <v>225</v>
      </c>
      <c r="C192" s="1" t="s">
        <v>226</v>
      </c>
      <c r="D192" s="23">
        <v>1991</v>
      </c>
      <c r="E192" s="38">
        <v>1</v>
      </c>
      <c r="F192" s="23">
        <v>7</v>
      </c>
      <c r="G192" s="23">
        <v>7</v>
      </c>
      <c r="H192" s="23" t="s">
        <v>32</v>
      </c>
      <c r="I192" s="23" t="s">
        <v>197</v>
      </c>
      <c r="J192" s="23" t="s">
        <v>208</v>
      </c>
      <c r="K192" s="23">
        <f t="shared" si="27"/>
        <v>26</v>
      </c>
      <c r="L192" s="23">
        <f t="shared" si="34"/>
        <v>4</v>
      </c>
      <c r="M192" s="23">
        <v>1</v>
      </c>
      <c r="N192" s="24">
        <v>2</v>
      </c>
      <c r="O192" s="23">
        <v>0</v>
      </c>
      <c r="P192" s="23"/>
      <c r="Q192" s="23" t="s">
        <v>106</v>
      </c>
      <c r="R192" s="23">
        <f t="shared" si="28"/>
        <v>1</v>
      </c>
      <c r="S192" s="23" t="s">
        <v>31</v>
      </c>
      <c r="T192" s="23" t="s">
        <v>342</v>
      </c>
      <c r="U192" s="23">
        <f t="shared" si="29"/>
        <v>1</v>
      </c>
      <c r="V192" s="23">
        <v>30</v>
      </c>
      <c r="W192" s="23">
        <f t="shared" si="30"/>
        <v>210</v>
      </c>
      <c r="X192" s="23">
        <v>5</v>
      </c>
      <c r="Y192" s="38">
        <f>Data!I390</f>
        <v>157680000</v>
      </c>
      <c r="Z192" s="23" t="s">
        <v>229</v>
      </c>
      <c r="AA192" s="23">
        <f>45*365*24*60*60</f>
        <v>1419120000</v>
      </c>
      <c r="AB192" s="23" t="str">
        <f t="shared" si="31"/>
        <v>4</v>
      </c>
      <c r="AC192" s="19">
        <f>AVERAGE(Data!I390:BN390)</f>
        <v>788400000</v>
      </c>
      <c r="AD192" s="23" t="str">
        <f t="shared" si="32"/>
        <v>4</v>
      </c>
      <c r="AE192" s="38">
        <f t="shared" si="33"/>
        <v>1261440000</v>
      </c>
      <c r="AF192" s="41">
        <f>Data!I391</f>
        <v>0.89473684210526316</v>
      </c>
      <c r="AG192" s="19">
        <f>((Data!J391-Data!I391)+(Data!K391-Data!J391)+(Data!L391-Data!K391)+(Data!M391-Data!L391))/4</f>
        <v>-0.10054988216810684</v>
      </c>
    </row>
    <row r="193" spans="1:117" s="3" customFormat="1" ht="12" customHeight="1" x14ac:dyDescent="0.2">
      <c r="A193" s="27">
        <v>43896</v>
      </c>
      <c r="B193" s="32" t="s">
        <v>227</v>
      </c>
      <c r="C193" s="32" t="s">
        <v>228</v>
      </c>
      <c r="D193" s="31">
        <v>1990</v>
      </c>
      <c r="E193" s="44">
        <v>1</v>
      </c>
      <c r="F193" s="31">
        <v>20</v>
      </c>
      <c r="G193" s="31">
        <v>20</v>
      </c>
      <c r="H193" s="31" t="s">
        <v>32</v>
      </c>
      <c r="I193" s="31" t="s">
        <v>197</v>
      </c>
      <c r="J193" s="31" t="s">
        <v>208</v>
      </c>
      <c r="K193" s="31">
        <f t="shared" si="27"/>
        <v>26</v>
      </c>
      <c r="L193" s="31">
        <f t="shared" si="34"/>
        <v>4</v>
      </c>
      <c r="M193" s="31">
        <v>1</v>
      </c>
      <c r="N193" s="43">
        <v>2</v>
      </c>
      <c r="O193" s="31">
        <v>0</v>
      </c>
      <c r="P193" s="31"/>
      <c r="Q193" s="31" t="s">
        <v>106</v>
      </c>
      <c r="R193" s="31">
        <f t="shared" si="28"/>
        <v>1</v>
      </c>
      <c r="S193" s="31" t="s">
        <v>31</v>
      </c>
      <c r="T193" s="46" t="s">
        <v>342</v>
      </c>
      <c r="U193" s="31">
        <f t="shared" si="29"/>
        <v>1</v>
      </c>
      <c r="V193" s="46">
        <v>30</v>
      </c>
      <c r="W193" s="31">
        <f t="shared" si="30"/>
        <v>600</v>
      </c>
      <c r="X193" s="31">
        <v>5</v>
      </c>
      <c r="Y193" s="44">
        <f>Data!I392</f>
        <v>315360000</v>
      </c>
      <c r="Z193" s="31" t="s">
        <v>130</v>
      </c>
      <c r="AA193" s="31">
        <f>50*365*24*60*60</f>
        <v>1576800000</v>
      </c>
      <c r="AB193" s="31" t="str">
        <f t="shared" si="31"/>
        <v>4</v>
      </c>
      <c r="AC193" s="34">
        <f>AVERAGE(Data!I392:BN392)</f>
        <v>3156672000</v>
      </c>
      <c r="AD193" s="31" t="str">
        <f t="shared" si="32"/>
        <v>4</v>
      </c>
      <c r="AE193" s="44">
        <f t="shared" si="33"/>
        <v>1261440000</v>
      </c>
      <c r="AF193" s="45">
        <f>Data!I393</f>
        <v>0.78947368421052633</v>
      </c>
      <c r="AG193" s="34">
        <f>((Data!J393-Data!I393)+(Data!K393-Data!J393)+(Data!L393-Data!K393)+(Data!M393-Data!L393))/4</f>
        <v>-3.9140572951365776E-2</v>
      </c>
    </row>
    <row r="194" spans="1:117" s="3" customFormat="1" ht="12" customHeight="1" x14ac:dyDescent="0.2">
      <c r="A194" s="27">
        <v>43912</v>
      </c>
      <c r="B194" s="52" t="s">
        <v>119</v>
      </c>
      <c r="C194" s="52" t="s">
        <v>120</v>
      </c>
      <c r="D194" s="51">
        <v>1907</v>
      </c>
      <c r="E194" s="57"/>
      <c r="F194" s="51">
        <v>18</v>
      </c>
      <c r="G194" s="51">
        <v>18</v>
      </c>
      <c r="H194" s="51" t="s">
        <v>435</v>
      </c>
      <c r="I194" s="51"/>
      <c r="J194" s="51" t="s">
        <v>397</v>
      </c>
      <c r="K194" s="31">
        <f t="shared" si="27"/>
        <v>42</v>
      </c>
      <c r="L194" s="31">
        <f t="shared" si="34"/>
        <v>7</v>
      </c>
      <c r="M194" s="51">
        <v>1</v>
      </c>
      <c r="N194" s="51">
        <v>3</v>
      </c>
      <c r="O194" s="51">
        <v>0</v>
      </c>
      <c r="P194" s="51"/>
      <c r="Q194" s="51" t="s">
        <v>59</v>
      </c>
      <c r="R194" s="31">
        <f t="shared" si="28"/>
        <v>5</v>
      </c>
      <c r="S194" s="51" t="s">
        <v>66</v>
      </c>
      <c r="T194" s="46" t="s">
        <v>342</v>
      </c>
      <c r="U194" s="31">
        <f t="shared" si="29"/>
        <v>1</v>
      </c>
      <c r="V194" s="46">
        <v>132</v>
      </c>
      <c r="W194" s="31">
        <f t="shared" si="30"/>
        <v>2376</v>
      </c>
      <c r="X194" s="51">
        <v>14</v>
      </c>
      <c r="Y194" s="44">
        <f>Data!I396</f>
        <v>30</v>
      </c>
      <c r="Z194" s="51" t="s">
        <v>114</v>
      </c>
      <c r="AA194" s="57">
        <f>30*24*60*60</f>
        <v>2592000</v>
      </c>
      <c r="AB194" s="31" t="str">
        <f t="shared" si="31"/>
        <v>4</v>
      </c>
      <c r="AC194" s="34">
        <f>AVERAGE(Data!I396:BN396)</f>
        <v>576345</v>
      </c>
      <c r="AD194" s="31" t="str">
        <f t="shared" si="32"/>
        <v>3</v>
      </c>
      <c r="AE194" s="44">
        <f t="shared" si="33"/>
        <v>2591970</v>
      </c>
      <c r="AF194" s="45">
        <f>Data!I397</f>
        <v>1</v>
      </c>
      <c r="AG194" s="34">
        <f>((Data!J397-Data!I397)+(Data!K397-Data!J397)+(Data!L397-Data!K397)+(Data!M397-Data!L397)+(Data!N397-Data!M397)+(Data!O397-Data!N397)+(Data!P397-Data!O397)+(Data!Q397-Data!P397)+(Data!R397-Data!Q397)+(Data!S397-Data!R397)+(Data!T397-Data!S397)+(Data!U397-Data!T397)+(Data!V397-Data!U397))/13</f>
        <v>-5.8538461538461539E-2</v>
      </c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</row>
    <row r="195" spans="1:117" s="3" customFormat="1" ht="12" customHeight="1" x14ac:dyDescent="0.2">
      <c r="A195" s="27">
        <v>43509</v>
      </c>
      <c r="B195" s="52" t="s">
        <v>119</v>
      </c>
      <c r="C195" s="52" t="s">
        <v>120</v>
      </c>
      <c r="D195" s="51">
        <v>1907</v>
      </c>
      <c r="E195" s="57"/>
      <c r="F195" s="51">
        <v>18</v>
      </c>
      <c r="G195" s="51">
        <v>18</v>
      </c>
      <c r="H195" s="51" t="s">
        <v>434</v>
      </c>
      <c r="I195" s="51"/>
      <c r="J195" s="51" t="s">
        <v>174</v>
      </c>
      <c r="K195" s="31">
        <f t="shared" si="27"/>
        <v>1</v>
      </c>
      <c r="L195" s="31">
        <f t="shared" si="34"/>
        <v>1</v>
      </c>
      <c r="M195" s="51">
        <v>1</v>
      </c>
      <c r="N195" s="51">
        <v>1</v>
      </c>
      <c r="O195" s="51">
        <v>0</v>
      </c>
      <c r="P195" s="51"/>
      <c r="Q195" s="51" t="s">
        <v>59</v>
      </c>
      <c r="R195" s="31">
        <f t="shared" si="28"/>
        <v>5</v>
      </c>
      <c r="S195" s="51" t="s">
        <v>66</v>
      </c>
      <c r="T195" s="46" t="s">
        <v>342</v>
      </c>
      <c r="U195" s="31">
        <f t="shared" si="29"/>
        <v>1</v>
      </c>
      <c r="V195" s="46">
        <v>132</v>
      </c>
      <c r="W195" s="31">
        <f t="shared" si="30"/>
        <v>2376</v>
      </c>
      <c r="X195" s="51">
        <v>12</v>
      </c>
      <c r="Y195" s="44">
        <f>Data!I394</f>
        <v>30</v>
      </c>
      <c r="Z195" s="51" t="s">
        <v>108</v>
      </c>
      <c r="AA195" s="57">
        <f>120*24*60*60</f>
        <v>10368000</v>
      </c>
      <c r="AB195" s="31" t="str">
        <f t="shared" si="31"/>
        <v>4</v>
      </c>
      <c r="AC195" s="34">
        <f>AVERAGE(Data!I394:BN394)</f>
        <v>1399627.5</v>
      </c>
      <c r="AD195" s="31" t="str">
        <f t="shared" si="32"/>
        <v>4</v>
      </c>
      <c r="AE195" s="44">
        <f t="shared" si="33"/>
        <v>10367970</v>
      </c>
      <c r="AF195" s="45">
        <f>Data!I395</f>
        <v>1</v>
      </c>
      <c r="AG195" s="34">
        <f>((Data!J395-Data!I395)+(Data!K395-Data!J395)+(Data!L395-Data!K395)+(Data!M395-Data!L395)+(Data!N395-Data!M395)+(Data!O395-Data!N395)+(Data!P395-Data!O395)+(Data!Q395-Data!P395)+(Data!R395-Data!Q395)+(Data!S395-Data!R395)+(Data!T395-Data!S395))/11</f>
        <v>-8.8363636363636366E-2</v>
      </c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</row>
    <row r="196" spans="1:117" s="3" customFormat="1" ht="12" customHeight="1" x14ac:dyDescent="0.2">
      <c r="A196" s="27">
        <v>43509</v>
      </c>
      <c r="B196" s="7" t="s">
        <v>95</v>
      </c>
      <c r="C196" s="7" t="s">
        <v>50</v>
      </c>
      <c r="D196" s="25">
        <v>2017</v>
      </c>
      <c r="E196" s="40">
        <v>1</v>
      </c>
      <c r="F196" s="25">
        <v>200</v>
      </c>
      <c r="G196" s="25">
        <v>40</v>
      </c>
      <c r="H196" s="25" t="s">
        <v>13</v>
      </c>
      <c r="I196" s="25"/>
      <c r="J196" s="25" t="s">
        <v>292</v>
      </c>
      <c r="K196" s="23">
        <f t="shared" si="27"/>
        <v>32</v>
      </c>
      <c r="L196" s="23">
        <f t="shared" si="34"/>
        <v>5</v>
      </c>
      <c r="M196" s="25">
        <v>1</v>
      </c>
      <c r="N196" s="25">
        <v>4</v>
      </c>
      <c r="O196" s="25">
        <v>0</v>
      </c>
      <c r="P196" s="25"/>
      <c r="Q196" s="25" t="s">
        <v>23</v>
      </c>
      <c r="R196" s="23">
        <f t="shared" si="28"/>
        <v>3</v>
      </c>
      <c r="S196" s="25" t="s">
        <v>11</v>
      </c>
      <c r="T196" s="25" t="s">
        <v>163</v>
      </c>
      <c r="U196" s="23">
        <f t="shared" si="29"/>
        <v>0</v>
      </c>
      <c r="V196" s="25">
        <v>18</v>
      </c>
      <c r="W196" s="23">
        <f t="shared" si="30"/>
        <v>3600</v>
      </c>
      <c r="X196" s="25">
        <v>5</v>
      </c>
      <c r="Y196" s="38">
        <f>Data!I398</f>
        <v>60</v>
      </c>
      <c r="Z196" s="25" t="s">
        <v>96</v>
      </c>
      <c r="AA196" s="25">
        <v>1209600</v>
      </c>
      <c r="AB196" s="23" t="str">
        <f t="shared" si="31"/>
        <v>4</v>
      </c>
      <c r="AC196" s="19">
        <f>AVERAGE(Data!I398:BN398)</f>
        <v>380892</v>
      </c>
      <c r="AD196" s="23" t="str">
        <f t="shared" si="32"/>
        <v>3</v>
      </c>
      <c r="AE196" s="38">
        <f t="shared" si="33"/>
        <v>1209540</v>
      </c>
      <c r="AF196" s="41">
        <f>Data!I399</f>
        <v>0.97799999999999998</v>
      </c>
      <c r="AG196" s="19">
        <f>((Data!J399-Data!I399)+(Data!K399-Data!J399)+(Data!L399-Data!K399)+(Data!M399-Data!L399))/4</f>
        <v>-3.4000000000000002E-2</v>
      </c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</row>
    <row r="197" spans="1:117" s="3" customFormat="1" ht="12" customHeight="1" x14ac:dyDescent="0.2">
      <c r="A197" s="27">
        <v>43509</v>
      </c>
      <c r="B197" s="1" t="s">
        <v>157</v>
      </c>
      <c r="C197" s="1" t="s">
        <v>28</v>
      </c>
      <c r="D197" s="23">
        <v>1999</v>
      </c>
      <c r="E197" s="38">
        <v>1</v>
      </c>
      <c r="F197" s="23">
        <v>100</v>
      </c>
      <c r="G197" s="23">
        <v>100</v>
      </c>
      <c r="H197" s="23" t="s">
        <v>32</v>
      </c>
      <c r="I197" s="23"/>
      <c r="J197" s="23" t="s">
        <v>190</v>
      </c>
      <c r="K197" s="23">
        <f t="shared" si="27"/>
        <v>21</v>
      </c>
      <c r="L197" s="23">
        <f t="shared" si="34"/>
        <v>4</v>
      </c>
      <c r="M197" s="23">
        <v>0</v>
      </c>
      <c r="N197" s="23">
        <v>1</v>
      </c>
      <c r="O197" s="23">
        <v>0</v>
      </c>
      <c r="P197" s="23"/>
      <c r="Q197" s="23" t="s">
        <v>106</v>
      </c>
      <c r="R197" s="23">
        <f t="shared" si="28"/>
        <v>1</v>
      </c>
      <c r="S197" s="23" t="s">
        <v>31</v>
      </c>
      <c r="T197" s="22" t="s">
        <v>342</v>
      </c>
      <c r="U197" s="23">
        <f t="shared" si="29"/>
        <v>1</v>
      </c>
      <c r="V197" s="22">
        <v>180</v>
      </c>
      <c r="W197" s="23">
        <f t="shared" si="30"/>
        <v>18000</v>
      </c>
      <c r="X197" s="23">
        <v>10</v>
      </c>
      <c r="Y197" s="38">
        <f>Data!I400</f>
        <v>6</v>
      </c>
      <c r="Z197" s="23" t="s">
        <v>44</v>
      </c>
      <c r="AA197" s="23">
        <v>600</v>
      </c>
      <c r="AB197" s="23" t="str">
        <f t="shared" si="31"/>
        <v>2</v>
      </c>
      <c r="AC197" s="19">
        <f>AVERAGE(Data!I400:BN400)</f>
        <v>146.4</v>
      </c>
      <c r="AD197" s="23" t="str">
        <f t="shared" si="32"/>
        <v>2</v>
      </c>
      <c r="AE197" s="38">
        <f t="shared" si="33"/>
        <v>594</v>
      </c>
      <c r="AF197" s="41">
        <f>Data!I401</f>
        <v>0.94699999999999995</v>
      </c>
      <c r="AG197" s="19">
        <f>((Data!J401-Data!I401)+(Data!K401-Data!J401)+(Data!L401-Data!K401)+(Data!M401-Data!L401)+(Data!N401-Data!M401)+(Data!O401-Data!N401)+(Data!P401-Data!O401)+(Data!Q401-Data!P401)+(Data!R401-Data!Q401))/9</f>
        <v>-9.3666666666666662E-2</v>
      </c>
    </row>
    <row r="198" spans="1:117" s="3" customFormat="1" ht="12" customHeight="1" x14ac:dyDescent="0.2">
      <c r="A198" s="27">
        <v>43897</v>
      </c>
      <c r="B198" s="32" t="s">
        <v>242</v>
      </c>
      <c r="C198" s="32" t="s">
        <v>243</v>
      </c>
      <c r="D198" s="31">
        <v>1988</v>
      </c>
      <c r="E198" s="44">
        <v>1</v>
      </c>
      <c r="F198" s="31">
        <v>30</v>
      </c>
      <c r="G198" s="31">
        <v>30</v>
      </c>
      <c r="H198" s="31" t="s">
        <v>207</v>
      </c>
      <c r="I198" s="31" t="s">
        <v>197</v>
      </c>
      <c r="J198" s="31" t="s">
        <v>244</v>
      </c>
      <c r="K198" s="31">
        <f t="shared" si="27"/>
        <v>36</v>
      </c>
      <c r="L198" s="31">
        <f t="shared" si="34"/>
        <v>5</v>
      </c>
      <c r="M198" s="31">
        <v>1</v>
      </c>
      <c r="N198" s="43">
        <v>2</v>
      </c>
      <c r="O198" s="31">
        <v>0</v>
      </c>
      <c r="P198" s="31"/>
      <c r="Q198" s="31" t="s">
        <v>23</v>
      </c>
      <c r="R198" s="31">
        <f t="shared" si="28"/>
        <v>3</v>
      </c>
      <c r="S198" s="31" t="s">
        <v>11</v>
      </c>
      <c r="T198" s="46" t="s">
        <v>342</v>
      </c>
      <c r="U198" s="31">
        <f t="shared" si="29"/>
        <v>1</v>
      </c>
      <c r="V198" s="46">
        <v>20</v>
      </c>
      <c r="W198" s="31">
        <f t="shared" si="30"/>
        <v>600</v>
      </c>
      <c r="X198" s="31">
        <v>5</v>
      </c>
      <c r="Y198" s="44">
        <f>Data!I402</f>
        <v>94608000</v>
      </c>
      <c r="Z198" s="46" t="s">
        <v>261</v>
      </c>
      <c r="AA198" s="31">
        <f>43*365*24*60*60</f>
        <v>1356048000</v>
      </c>
      <c r="AB198" s="31" t="str">
        <f t="shared" si="31"/>
        <v>4</v>
      </c>
      <c r="AC198" s="34">
        <f>AVERAGE(Data!I402:BN402)</f>
        <v>725328000</v>
      </c>
      <c r="AD198" s="31" t="str">
        <f t="shared" si="32"/>
        <v>4</v>
      </c>
      <c r="AE198" s="44">
        <f t="shared" si="33"/>
        <v>1261440000</v>
      </c>
      <c r="AF198" s="45">
        <f>Data!I403</f>
        <v>0.95384615384615379</v>
      </c>
      <c r="AG198" s="47">
        <f>((Data!J403-Data!I403)+(Data!K403-Data!J403)+(Data!L403-Data!K403)+(Data!M403-Data!L403))/4</f>
        <v>-1.6194331983805654E-3</v>
      </c>
    </row>
    <row r="199" spans="1:117" s="3" customFormat="1" ht="12" customHeight="1" x14ac:dyDescent="0.2">
      <c r="A199" s="27">
        <v>43897</v>
      </c>
      <c r="B199" s="1" t="s">
        <v>245</v>
      </c>
      <c r="C199" s="1" t="s">
        <v>246</v>
      </c>
      <c r="D199" s="23">
        <v>1988</v>
      </c>
      <c r="E199" s="38">
        <v>1</v>
      </c>
      <c r="F199" s="23">
        <v>14</v>
      </c>
      <c r="G199" s="23">
        <v>14</v>
      </c>
      <c r="H199" s="23" t="s">
        <v>25</v>
      </c>
      <c r="I199" s="23" t="s">
        <v>197</v>
      </c>
      <c r="J199" s="23" t="s">
        <v>241</v>
      </c>
      <c r="K199" s="23">
        <f t="shared" si="27"/>
        <v>40</v>
      </c>
      <c r="L199" s="23">
        <f t="shared" si="34"/>
        <v>6</v>
      </c>
      <c r="M199" s="23">
        <v>1</v>
      </c>
      <c r="N199" s="24">
        <v>3</v>
      </c>
      <c r="O199" s="23">
        <v>0</v>
      </c>
      <c r="P199" s="23"/>
      <c r="Q199" s="23" t="s">
        <v>111</v>
      </c>
      <c r="R199" s="23">
        <f t="shared" si="28"/>
        <v>4</v>
      </c>
      <c r="S199" s="23" t="s">
        <v>11</v>
      </c>
      <c r="T199" s="22" t="s">
        <v>342</v>
      </c>
      <c r="U199" s="23">
        <f t="shared" si="29"/>
        <v>1</v>
      </c>
      <c r="V199" s="22">
        <v>68</v>
      </c>
      <c r="W199" s="23">
        <f t="shared" si="30"/>
        <v>952</v>
      </c>
      <c r="X199" s="23">
        <v>5</v>
      </c>
      <c r="Y199" s="38">
        <f>Data!I404</f>
        <v>94608000</v>
      </c>
      <c r="Z199" s="23" t="s">
        <v>261</v>
      </c>
      <c r="AA199" s="23">
        <f>43*365*24*60*60</f>
        <v>1356048000</v>
      </c>
      <c r="AB199" s="23" t="str">
        <f t="shared" si="31"/>
        <v>4</v>
      </c>
      <c r="AC199" s="19">
        <f>AVERAGE(Data!I404:BN404)</f>
        <v>725328000</v>
      </c>
      <c r="AD199" s="23" t="str">
        <f t="shared" si="32"/>
        <v>4</v>
      </c>
      <c r="AE199" s="38">
        <f t="shared" si="33"/>
        <v>1261440000</v>
      </c>
      <c r="AF199" s="41">
        <f>Data!I405</f>
        <v>0.9</v>
      </c>
      <c r="AG199" s="19">
        <f>((Data!J405-Data!I405)+(Data!K405-Data!J405)+(Data!L405-Data!K405)+(Data!M405-Data!L405))/4</f>
        <v>-1.2500000000000011E-2</v>
      </c>
    </row>
    <row r="200" spans="1:117" s="3" customFormat="1" ht="12" customHeight="1" x14ac:dyDescent="0.2">
      <c r="A200" s="27">
        <v>43979</v>
      </c>
      <c r="B200" s="1" t="s">
        <v>514</v>
      </c>
      <c r="C200" s="1" t="s">
        <v>515</v>
      </c>
      <c r="D200" s="23">
        <v>1995</v>
      </c>
      <c r="E200" s="38">
        <v>1</v>
      </c>
      <c r="F200" s="23">
        <v>15</v>
      </c>
      <c r="G200" s="23">
        <v>15</v>
      </c>
      <c r="H200" s="23" t="s">
        <v>32</v>
      </c>
      <c r="I200" s="23" t="s">
        <v>516</v>
      </c>
      <c r="J200" s="23" t="s">
        <v>186</v>
      </c>
      <c r="K200" s="23">
        <f t="shared" si="27"/>
        <v>10</v>
      </c>
      <c r="L200" s="23">
        <f t="shared" si="34"/>
        <v>2</v>
      </c>
      <c r="M200" s="23">
        <v>0</v>
      </c>
      <c r="N200" s="23">
        <v>1</v>
      </c>
      <c r="O200" s="23">
        <v>0</v>
      </c>
      <c r="P200" s="23"/>
      <c r="Q200" s="23" t="s">
        <v>111</v>
      </c>
      <c r="R200" s="23">
        <f t="shared" si="28"/>
        <v>4</v>
      </c>
      <c r="S200" s="23" t="s">
        <v>11</v>
      </c>
      <c r="T200" s="22" t="s">
        <v>342</v>
      </c>
      <c r="U200" s="23">
        <f t="shared" si="29"/>
        <v>1</v>
      </c>
      <c r="V200" s="22">
        <v>100</v>
      </c>
      <c r="W200" s="23">
        <f t="shared" si="30"/>
        <v>1500</v>
      </c>
      <c r="X200" s="23">
        <v>5</v>
      </c>
      <c r="Y200" s="38">
        <f>Data!I406</f>
        <v>300</v>
      </c>
      <c r="Z200" s="23" t="s">
        <v>517</v>
      </c>
      <c r="AA200" s="23">
        <f>60*60*24*7*27</f>
        <v>16329600</v>
      </c>
      <c r="AB200" s="23" t="str">
        <f t="shared" si="31"/>
        <v>4</v>
      </c>
      <c r="AC200" s="19">
        <f>AVERAGE(Data!I406:BN406)</f>
        <v>4356060</v>
      </c>
      <c r="AD200" s="23" t="str">
        <f t="shared" si="32"/>
        <v>4</v>
      </c>
      <c r="AE200" s="38">
        <f t="shared" si="33"/>
        <v>16329300</v>
      </c>
      <c r="AF200" s="41">
        <f>Data!I407</f>
        <v>0.98523068834677108</v>
      </c>
      <c r="AG200" s="19">
        <f>((Data!J407-Data!I407)+(Data!K407-Data!J407)+(Data!L407-Data!K407)+(Data!M407-Data!L407))/4</f>
        <v>-6.4347504263039257E-2</v>
      </c>
    </row>
    <row r="201" spans="1:117" s="3" customFormat="1" ht="12" customHeight="1" x14ac:dyDescent="0.2">
      <c r="A201" s="27">
        <v>43979</v>
      </c>
      <c r="B201" s="1" t="s">
        <v>514</v>
      </c>
      <c r="C201" s="1" t="s">
        <v>515</v>
      </c>
      <c r="D201" s="23">
        <v>1995</v>
      </c>
      <c r="E201" s="38">
        <v>1</v>
      </c>
      <c r="F201" s="23">
        <v>15</v>
      </c>
      <c r="G201" s="23">
        <v>15</v>
      </c>
      <c r="H201" s="23" t="s">
        <v>32</v>
      </c>
      <c r="I201" s="23" t="s">
        <v>519</v>
      </c>
      <c r="J201" s="23" t="s">
        <v>186</v>
      </c>
      <c r="K201" s="23">
        <f t="shared" si="27"/>
        <v>10</v>
      </c>
      <c r="L201" s="23">
        <f t="shared" si="34"/>
        <v>2</v>
      </c>
      <c r="M201" s="23">
        <v>0</v>
      </c>
      <c r="N201" s="23">
        <v>1</v>
      </c>
      <c r="O201" s="23">
        <v>0</v>
      </c>
      <c r="P201" s="23"/>
      <c r="Q201" s="23" t="s">
        <v>111</v>
      </c>
      <c r="R201" s="23">
        <f t="shared" si="28"/>
        <v>4</v>
      </c>
      <c r="S201" s="23" t="s">
        <v>11</v>
      </c>
      <c r="T201" s="22" t="s">
        <v>342</v>
      </c>
      <c r="U201" s="23">
        <f t="shared" si="29"/>
        <v>1</v>
      </c>
      <c r="V201" s="22">
        <v>100</v>
      </c>
      <c r="W201" s="23">
        <f t="shared" si="30"/>
        <v>1500</v>
      </c>
      <c r="X201" s="23">
        <v>5</v>
      </c>
      <c r="Y201" s="38">
        <f>Data!I408</f>
        <v>300</v>
      </c>
      <c r="Z201" s="23" t="s">
        <v>517</v>
      </c>
      <c r="AA201" s="23">
        <f>60*60*24*7*27</f>
        <v>16329600</v>
      </c>
      <c r="AB201" s="23" t="str">
        <f t="shared" si="31"/>
        <v>4</v>
      </c>
      <c r="AC201" s="19">
        <f>AVERAGE(Data!I408:BN408)</f>
        <v>4356060</v>
      </c>
      <c r="AD201" s="23" t="str">
        <f t="shared" si="32"/>
        <v>4</v>
      </c>
      <c r="AE201" s="38">
        <f t="shared" si="33"/>
        <v>16329300</v>
      </c>
      <c r="AF201" s="41">
        <f>Data!I409</f>
        <v>0.99842829620252205</v>
      </c>
      <c r="AG201" s="19">
        <f>((Data!J409-Data!I409)+(Data!K409-Data!J409)+(Data!L409-Data!K409)+(Data!M409-Data!L409))/4</f>
        <v>-8.3962326149291E-2</v>
      </c>
    </row>
    <row r="202" spans="1:117" s="3" customFormat="1" ht="12" customHeight="1" x14ac:dyDescent="0.2">
      <c r="A202" s="27">
        <v>43509</v>
      </c>
      <c r="B202" s="54" t="s">
        <v>138</v>
      </c>
      <c r="C202" s="32" t="s">
        <v>139</v>
      </c>
      <c r="D202" s="31">
        <v>1989</v>
      </c>
      <c r="E202" s="44">
        <v>1</v>
      </c>
      <c r="F202" s="31">
        <v>231</v>
      </c>
      <c r="G202" s="31">
        <v>231</v>
      </c>
      <c r="H202" s="31" t="s">
        <v>136</v>
      </c>
      <c r="I202" s="31"/>
      <c r="J202" s="31" t="s">
        <v>231</v>
      </c>
      <c r="K202" s="31">
        <f t="shared" si="27"/>
        <v>29</v>
      </c>
      <c r="L202" s="31">
        <f t="shared" si="34"/>
        <v>4</v>
      </c>
      <c r="M202" s="31">
        <v>1</v>
      </c>
      <c r="N202" s="31">
        <v>2</v>
      </c>
      <c r="O202" s="31">
        <v>0</v>
      </c>
      <c r="P202" s="31"/>
      <c r="Q202" s="31" t="s">
        <v>111</v>
      </c>
      <c r="R202" s="31">
        <f t="shared" si="28"/>
        <v>4</v>
      </c>
      <c r="S202" s="31" t="s">
        <v>11</v>
      </c>
      <c r="T202" s="46" t="s">
        <v>342</v>
      </c>
      <c r="U202" s="31">
        <f t="shared" si="29"/>
        <v>1</v>
      </c>
      <c r="V202" s="46">
        <v>115</v>
      </c>
      <c r="W202" s="31">
        <f t="shared" si="30"/>
        <v>26565</v>
      </c>
      <c r="X202" s="31">
        <v>15</v>
      </c>
      <c r="Y202" s="44">
        <f>Data!I410</f>
        <v>31536000</v>
      </c>
      <c r="Z202" s="31" t="s">
        <v>140</v>
      </c>
      <c r="AA202" s="31">
        <v>473040000</v>
      </c>
      <c r="AB202" s="31" t="str">
        <f t="shared" si="31"/>
        <v>4</v>
      </c>
      <c r="AC202" s="34">
        <f>AVERAGE(Data!I410:BN410)</f>
        <v>252288000</v>
      </c>
      <c r="AD202" s="31" t="str">
        <f t="shared" si="32"/>
        <v>4</v>
      </c>
      <c r="AE202" s="44">
        <f t="shared" si="33"/>
        <v>441504000</v>
      </c>
      <c r="AF202" s="45">
        <f>Data!I411</f>
        <v>0.76600000000000001</v>
      </c>
      <c r="AG202" s="34">
        <f>((Data!J411-Data!I411)+(Data!K411-Data!J411)+(Data!L411-Data!K411)+(Data!M411-Data!L411)+(Data!N411-Data!M411)+(Data!O411-Data!N411)+(Data!P411-Data!O411)+(Data!Q411-Data!P411)+(Data!R411-Data!Q411)+(Data!S411-Data!R411)+(Data!T411-Data!S411)+(Data!U411-Data!T411)+(Data!V411-Data!U411)+(Data!W411-Data!V411))/14</f>
        <v>-1.3428571428571432E-2</v>
      </c>
    </row>
    <row r="203" spans="1:117" s="3" customFormat="1" ht="12" customHeight="1" x14ac:dyDescent="0.25">
      <c r="A203" s="27">
        <v>43897</v>
      </c>
      <c r="B203" s="5" t="s">
        <v>247</v>
      </c>
      <c r="C203" s="5" t="s">
        <v>81</v>
      </c>
      <c r="D203" s="22">
        <v>1982</v>
      </c>
      <c r="E203" s="38">
        <v>1</v>
      </c>
      <c r="F203" s="23">
        <v>16</v>
      </c>
      <c r="G203" s="23">
        <v>16</v>
      </c>
      <c r="H203" s="22" t="s">
        <v>271</v>
      </c>
      <c r="I203" s="23" t="s">
        <v>197</v>
      </c>
      <c r="J203" s="23" t="s">
        <v>208</v>
      </c>
      <c r="K203" s="23">
        <f t="shared" si="27"/>
        <v>26</v>
      </c>
      <c r="L203" s="23">
        <f t="shared" si="34"/>
        <v>4</v>
      </c>
      <c r="M203" s="23">
        <v>1</v>
      </c>
      <c r="N203" s="24">
        <v>2</v>
      </c>
      <c r="O203" s="23">
        <v>0</v>
      </c>
      <c r="P203" s="23"/>
      <c r="Q203" s="23" t="s">
        <v>106</v>
      </c>
      <c r="R203" s="23">
        <f t="shared" si="28"/>
        <v>1</v>
      </c>
      <c r="S203" s="23" t="s">
        <v>31</v>
      </c>
      <c r="T203" s="22" t="s">
        <v>342</v>
      </c>
      <c r="U203" s="23">
        <f t="shared" si="29"/>
        <v>1</v>
      </c>
      <c r="V203" s="22">
        <v>132</v>
      </c>
      <c r="W203" s="23">
        <f t="shared" si="30"/>
        <v>2112</v>
      </c>
      <c r="X203" s="23">
        <v>5</v>
      </c>
      <c r="Y203" s="38">
        <f>Data!I412</f>
        <v>157680000</v>
      </c>
      <c r="Z203" s="23" t="s">
        <v>229</v>
      </c>
      <c r="AA203" s="23">
        <f>45*365*24*60*60</f>
        <v>1419120000</v>
      </c>
      <c r="AB203" s="23" t="str">
        <f t="shared" si="31"/>
        <v>4</v>
      </c>
      <c r="AC203" s="19">
        <f>AVERAGE(Data!I412:BN412)</f>
        <v>788400000</v>
      </c>
      <c r="AD203" s="23" t="str">
        <f t="shared" si="32"/>
        <v>4</v>
      </c>
      <c r="AE203" s="38">
        <f t="shared" si="33"/>
        <v>1261440000</v>
      </c>
      <c r="AF203" s="41">
        <f>Data!I413</f>
        <v>0.62857142857142867</v>
      </c>
      <c r="AG203" s="19">
        <f>((Data!J413-Data!I413)+(Data!K413-Data!J413)+(Data!L413-Data!K413)+(Data!M413-Data!L413))/4</f>
        <v>-3.9495798319327743E-2</v>
      </c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</row>
    <row r="204" spans="1:117" s="3" customFormat="1" ht="12" customHeight="1" x14ac:dyDescent="0.2">
      <c r="A204" s="27">
        <v>43900</v>
      </c>
      <c r="B204" s="32" t="s">
        <v>255</v>
      </c>
      <c r="C204" s="32" t="s">
        <v>256</v>
      </c>
      <c r="D204" s="31">
        <v>1975</v>
      </c>
      <c r="E204" s="44">
        <v>1</v>
      </c>
      <c r="F204" s="31">
        <v>17</v>
      </c>
      <c r="G204" s="31">
        <v>17</v>
      </c>
      <c r="H204" s="31" t="s">
        <v>32</v>
      </c>
      <c r="I204" s="31" t="s">
        <v>257</v>
      </c>
      <c r="J204" s="31" t="s">
        <v>231</v>
      </c>
      <c r="K204" s="31">
        <f t="shared" si="27"/>
        <v>29</v>
      </c>
      <c r="L204" s="31">
        <f t="shared" si="34"/>
        <v>4</v>
      </c>
      <c r="M204" s="31">
        <v>1</v>
      </c>
      <c r="N204" s="43">
        <v>3</v>
      </c>
      <c r="O204" s="31">
        <v>0</v>
      </c>
      <c r="P204" s="31"/>
      <c r="Q204" s="31" t="s">
        <v>111</v>
      </c>
      <c r="R204" s="31">
        <f t="shared" si="28"/>
        <v>4</v>
      </c>
      <c r="S204" s="31" t="s">
        <v>11</v>
      </c>
      <c r="T204" s="46" t="s">
        <v>342</v>
      </c>
      <c r="U204" s="31">
        <f t="shared" si="29"/>
        <v>1</v>
      </c>
      <c r="V204" s="46">
        <v>213</v>
      </c>
      <c r="W204" s="31">
        <f t="shared" si="30"/>
        <v>3621</v>
      </c>
      <c r="X204" s="31">
        <v>8</v>
      </c>
      <c r="Y204" s="44">
        <f>Data!I416</f>
        <v>6307200</v>
      </c>
      <c r="Z204" s="31" t="s">
        <v>137</v>
      </c>
      <c r="AA204" s="31">
        <f>16*365*24*60*60</f>
        <v>504576000</v>
      </c>
      <c r="AB204" s="31" t="str">
        <f t="shared" si="31"/>
        <v>4</v>
      </c>
      <c r="AC204" s="34">
        <f>AVERAGE(Data!I416:BN416)</f>
        <v>276802400</v>
      </c>
      <c r="AD204" s="31" t="str">
        <f t="shared" si="32"/>
        <v>4</v>
      </c>
      <c r="AE204" s="44">
        <f t="shared" si="33"/>
        <v>498268800</v>
      </c>
      <c r="AF204" s="45">
        <f>Data!I417</f>
        <v>0.77</v>
      </c>
      <c r="AG204" s="34">
        <f>((Data!J417-Data!I417)+(Data!K417-Data!J417)+(Data!L417-Data!K417)+(Data!M417-Data!L417)+(Data!N417-Data!M417)+(Data!O417-Data!N417)+(Data!P417-Data!O417))/7</f>
        <v>-5.7142857142857148E-2</v>
      </c>
    </row>
    <row r="205" spans="1:117" s="3" customFormat="1" ht="12" customHeight="1" x14ac:dyDescent="0.2">
      <c r="A205" s="27">
        <v>43900</v>
      </c>
      <c r="B205" s="32" t="s">
        <v>255</v>
      </c>
      <c r="C205" s="32" t="s">
        <v>256</v>
      </c>
      <c r="D205" s="31">
        <v>1975</v>
      </c>
      <c r="E205" s="44">
        <v>1</v>
      </c>
      <c r="F205" s="31">
        <v>42</v>
      </c>
      <c r="G205" s="31">
        <v>42</v>
      </c>
      <c r="H205" s="31" t="s">
        <v>25</v>
      </c>
      <c r="I205" s="31" t="s">
        <v>257</v>
      </c>
      <c r="J205" s="31" t="s">
        <v>258</v>
      </c>
      <c r="K205" s="31">
        <f t="shared" si="27"/>
        <v>30</v>
      </c>
      <c r="L205" s="31">
        <f t="shared" si="34"/>
        <v>4</v>
      </c>
      <c r="M205" s="31">
        <v>1</v>
      </c>
      <c r="N205" s="43">
        <v>3</v>
      </c>
      <c r="O205" s="31">
        <v>0</v>
      </c>
      <c r="P205" s="31"/>
      <c r="Q205" s="31" t="s">
        <v>111</v>
      </c>
      <c r="R205" s="31">
        <f t="shared" si="28"/>
        <v>4</v>
      </c>
      <c r="S205" s="31" t="s">
        <v>11</v>
      </c>
      <c r="T205" s="46" t="s">
        <v>342</v>
      </c>
      <c r="U205" s="31">
        <f t="shared" si="29"/>
        <v>1</v>
      </c>
      <c r="V205" s="46">
        <v>39</v>
      </c>
      <c r="W205" s="31">
        <f t="shared" si="30"/>
        <v>1638</v>
      </c>
      <c r="X205" s="31">
        <v>8</v>
      </c>
      <c r="Y205" s="44">
        <f>Data!I418</f>
        <v>6307200</v>
      </c>
      <c r="Z205" s="31" t="s">
        <v>137</v>
      </c>
      <c r="AA205" s="31">
        <f>16*365*24*60*60</f>
        <v>504576000</v>
      </c>
      <c r="AB205" s="31" t="str">
        <f t="shared" si="31"/>
        <v>4</v>
      </c>
      <c r="AC205" s="34">
        <f>AVERAGE(Data!I418:BN418)</f>
        <v>276802400</v>
      </c>
      <c r="AD205" s="31" t="str">
        <f t="shared" si="32"/>
        <v>4</v>
      </c>
      <c r="AE205" s="44">
        <f t="shared" si="33"/>
        <v>498268800</v>
      </c>
      <c r="AF205" s="45">
        <f>Data!I419</f>
        <v>0.52</v>
      </c>
      <c r="AG205" s="34">
        <f>((Data!J419-Data!I419)+(Data!K419-Data!J419)+(Data!L419-Data!K419)+(Data!M419-Data!L419)+(Data!N419-Data!M419)+(Data!O419-Data!N419)+(Data!P419-Data!O419))/7</f>
        <v>-1.428571428571429E-2</v>
      </c>
    </row>
    <row r="206" spans="1:117" s="3" customFormat="1" ht="12" customHeight="1" x14ac:dyDescent="0.25">
      <c r="A206" s="27">
        <v>43897</v>
      </c>
      <c r="B206" s="48" t="s">
        <v>248</v>
      </c>
      <c r="C206" s="48" t="s">
        <v>240</v>
      </c>
      <c r="D206" s="46">
        <v>1989</v>
      </c>
      <c r="E206" s="44">
        <v>1</v>
      </c>
      <c r="F206" s="31">
        <v>8</v>
      </c>
      <c r="G206" s="31">
        <v>8</v>
      </c>
      <c r="H206" s="46" t="s">
        <v>32</v>
      </c>
      <c r="I206" s="31" t="s">
        <v>197</v>
      </c>
      <c r="J206" s="31" t="s">
        <v>208</v>
      </c>
      <c r="K206" s="31">
        <f t="shared" si="27"/>
        <v>26</v>
      </c>
      <c r="L206" s="31">
        <f t="shared" si="34"/>
        <v>4</v>
      </c>
      <c r="M206" s="31">
        <v>1</v>
      </c>
      <c r="N206" s="43">
        <v>2</v>
      </c>
      <c r="O206" s="31">
        <v>0</v>
      </c>
      <c r="P206" s="31"/>
      <c r="Q206" s="31" t="s">
        <v>111</v>
      </c>
      <c r="R206" s="31">
        <f t="shared" si="28"/>
        <v>4</v>
      </c>
      <c r="S206" s="31" t="s">
        <v>11</v>
      </c>
      <c r="T206" s="46" t="s">
        <v>342</v>
      </c>
      <c r="U206" s="31">
        <f t="shared" si="29"/>
        <v>1</v>
      </c>
      <c r="V206" s="46">
        <v>117</v>
      </c>
      <c r="W206" s="31">
        <f t="shared" si="30"/>
        <v>936</v>
      </c>
      <c r="X206" s="31">
        <v>5</v>
      </c>
      <c r="Y206" s="44">
        <f>Data!I414</f>
        <v>94608000</v>
      </c>
      <c r="Z206" s="31" t="s">
        <v>261</v>
      </c>
      <c r="AA206" s="31">
        <f>43*365*24*60*60</f>
        <v>1356048000</v>
      </c>
      <c r="AB206" s="31" t="str">
        <f t="shared" si="31"/>
        <v>4</v>
      </c>
      <c r="AC206" s="34">
        <f>AVERAGE(Data!I414:BN414)</f>
        <v>719020800</v>
      </c>
      <c r="AD206" s="31" t="str">
        <f t="shared" si="32"/>
        <v>4</v>
      </c>
      <c r="AE206" s="44">
        <f t="shared" si="33"/>
        <v>1261440000</v>
      </c>
      <c r="AF206" s="45">
        <f>Data!I415</f>
        <v>0.9242424242424242</v>
      </c>
      <c r="AG206" s="34">
        <f>((Data!J415-Data!I415)+(Data!K415-Data!J415)+(Data!L415-Data!K415)+(Data!M415-Data!L415))/4</f>
        <v>-1.5374331550802117E-2</v>
      </c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</row>
    <row r="207" spans="1:117" s="3" customFormat="1" ht="12" customHeight="1" x14ac:dyDescent="0.2">
      <c r="A207" s="27">
        <v>43897</v>
      </c>
      <c r="B207" s="54" t="s">
        <v>249</v>
      </c>
      <c r="C207" s="54" t="s">
        <v>81</v>
      </c>
      <c r="D207" s="61">
        <v>1990</v>
      </c>
      <c r="E207" s="44">
        <v>1</v>
      </c>
      <c r="F207" s="31">
        <v>20</v>
      </c>
      <c r="G207" s="31">
        <v>20</v>
      </c>
      <c r="H207" s="31" t="s">
        <v>274</v>
      </c>
      <c r="I207" s="31" t="s">
        <v>197</v>
      </c>
      <c r="J207" s="31" t="s">
        <v>12</v>
      </c>
      <c r="K207" s="31">
        <f t="shared" si="27"/>
        <v>9</v>
      </c>
      <c r="L207" s="31">
        <f t="shared" si="34"/>
        <v>2</v>
      </c>
      <c r="M207" s="31">
        <v>0</v>
      </c>
      <c r="N207" s="43">
        <v>1</v>
      </c>
      <c r="O207" s="31">
        <v>0</v>
      </c>
      <c r="P207" s="31"/>
      <c r="Q207" s="31" t="s">
        <v>111</v>
      </c>
      <c r="R207" s="31">
        <f t="shared" si="28"/>
        <v>4</v>
      </c>
      <c r="S207" s="31" t="s">
        <v>11</v>
      </c>
      <c r="T207" s="46" t="s">
        <v>342</v>
      </c>
      <c r="U207" s="31">
        <f t="shared" si="29"/>
        <v>1</v>
      </c>
      <c r="V207" s="46">
        <v>20</v>
      </c>
      <c r="W207" s="31">
        <f t="shared" si="30"/>
        <v>400</v>
      </c>
      <c r="X207" s="31">
        <v>6</v>
      </c>
      <c r="Y207" s="44">
        <f>Data!I420</f>
        <v>15</v>
      </c>
      <c r="Z207" s="46" t="s">
        <v>169</v>
      </c>
      <c r="AA207" s="46">
        <v>4838400</v>
      </c>
      <c r="AB207" s="31" t="str">
        <f t="shared" si="31"/>
        <v>4</v>
      </c>
      <c r="AC207" s="34">
        <f>AVERAGE(Data!I420:BN420)</f>
        <v>1023702.5</v>
      </c>
      <c r="AD207" s="31" t="str">
        <f t="shared" si="32"/>
        <v>4</v>
      </c>
      <c r="AE207" s="44">
        <f t="shared" si="33"/>
        <v>4838385</v>
      </c>
      <c r="AF207" s="45">
        <f>Data!I421</f>
        <v>0.97</v>
      </c>
      <c r="AG207" s="34">
        <f>((Data!J421-Data!I421)+(Data!K421-Data!J421)+(Data!L421-Data!K421)+(Data!M421-Data!L421)+(Data!N421-Data!M421))/5</f>
        <v>-7.5999999999999998E-2</v>
      </c>
    </row>
    <row r="208" spans="1:117" s="3" customFormat="1" ht="12" customHeight="1" x14ac:dyDescent="0.2">
      <c r="A208" s="27">
        <v>43897</v>
      </c>
      <c r="B208" s="54" t="s">
        <v>249</v>
      </c>
      <c r="C208" s="54" t="s">
        <v>81</v>
      </c>
      <c r="D208" s="61">
        <v>1990</v>
      </c>
      <c r="E208" s="44">
        <v>1</v>
      </c>
      <c r="F208" s="31">
        <v>20</v>
      </c>
      <c r="G208" s="31">
        <v>20</v>
      </c>
      <c r="H208" s="31" t="s">
        <v>274</v>
      </c>
      <c r="I208" s="31" t="s">
        <v>197</v>
      </c>
      <c r="J208" s="31" t="s">
        <v>12</v>
      </c>
      <c r="K208" s="31">
        <f t="shared" si="27"/>
        <v>9</v>
      </c>
      <c r="L208" s="31">
        <f t="shared" si="34"/>
        <v>2</v>
      </c>
      <c r="M208" s="31">
        <v>0</v>
      </c>
      <c r="N208" s="43">
        <v>1</v>
      </c>
      <c r="O208" s="31">
        <v>0</v>
      </c>
      <c r="P208" s="31"/>
      <c r="Q208" s="31" t="s">
        <v>106</v>
      </c>
      <c r="R208" s="31">
        <f t="shared" si="28"/>
        <v>1</v>
      </c>
      <c r="S208" s="31" t="s">
        <v>31</v>
      </c>
      <c r="T208" s="46" t="s">
        <v>342</v>
      </c>
      <c r="U208" s="31">
        <f t="shared" si="29"/>
        <v>1</v>
      </c>
      <c r="V208" s="46">
        <v>20</v>
      </c>
      <c r="W208" s="31">
        <f t="shared" si="30"/>
        <v>400</v>
      </c>
      <c r="X208" s="31">
        <v>6</v>
      </c>
      <c r="Y208" s="44">
        <f>Data!I422</f>
        <v>15</v>
      </c>
      <c r="Z208" s="46" t="s">
        <v>169</v>
      </c>
      <c r="AA208" s="46">
        <v>4838400</v>
      </c>
      <c r="AB208" s="31" t="str">
        <f t="shared" si="31"/>
        <v>4</v>
      </c>
      <c r="AC208" s="34">
        <f>AVERAGE(Data!I422:BN422)</f>
        <v>1023702.5</v>
      </c>
      <c r="AD208" s="31" t="str">
        <f t="shared" si="32"/>
        <v>4</v>
      </c>
      <c r="AE208" s="44">
        <f t="shared" si="33"/>
        <v>4838385</v>
      </c>
      <c r="AF208" s="45">
        <f>Data!I423</f>
        <v>0.48</v>
      </c>
      <c r="AG208" s="34">
        <f>((Data!J423-Data!I423)+(Data!K423-Data!J423)+(Data!L423-Data!K423)+(Data!M423-Data!L423)+(Data!N423-Data!M423))/5</f>
        <v>-0.08</v>
      </c>
    </row>
    <row r="209" spans="1:118" ht="12" customHeight="1" x14ac:dyDescent="0.2">
      <c r="A209" s="27">
        <v>43509</v>
      </c>
      <c r="B209" s="1" t="s">
        <v>100</v>
      </c>
      <c r="C209" s="1" t="s">
        <v>101</v>
      </c>
      <c r="D209" s="23">
        <v>1970</v>
      </c>
      <c r="E209" s="38">
        <v>1</v>
      </c>
      <c r="F209" s="23">
        <v>150</v>
      </c>
      <c r="G209" s="23">
        <v>15</v>
      </c>
      <c r="H209" s="23" t="s">
        <v>32</v>
      </c>
      <c r="I209" s="23" t="s">
        <v>443</v>
      </c>
      <c r="J209" s="23" t="s">
        <v>445</v>
      </c>
      <c r="K209" s="23">
        <f t="shared" si="27"/>
        <v>17</v>
      </c>
      <c r="L209" s="23">
        <f t="shared" ref="L209:L228" si="35">IF(J209="syllables",1,IF(J209="trigrams",1,IF(J209="strings",1,IF(J209="visual array",1,IF(J209="characters",1,IF(J209="letters",1,IF(J209="free forms",1,IF(J209="odors",2,IF(J209="words",2,IF(J209="pictures",2,IF(J209="object pictures",2,IF(J209="faces",2,IF(J209="names",2,IF(J209="idioms","2",IF(J209="grades",2,IF(J209="syllable-digit pairs",3,IF(J209="trigram-word pairs",3,IF(J209="word-digit pairs",3,IF(J209="English-Swahili pairs",3,IF(J209="spatial position",3,IF(J209="word pairs",4,IF(J209="word triads",4,IF(J209="generated words",4,IF(J209="word definition pairs",4,IF(J209="math problems",4,IF(J209="famous faces",4,IF(J209="famous names",4,IF(J209="famous voices",4,IF(J209="television programs",4,IF(J209="race horses",4,IF(J209="new vocabulary",4,IF(J209="sentences",5,IF(J209="concepts",5,IF(J209="ad slides",5,IF(J209="scenes",5,IF(J209="famous scenes",5,IF(J209="poems",6,IF(J209="walk",6,IF(J209="faces and events",6,IF(J209="events and names",6,IF(J209="flashbulb",7,IF(J209="stories",7,IF(J209="course material",7,IF(J209="autobiographical",7,IF(J209="novels",7,IF(J209="public events",7,"99"))))))))))))))))))))))))))))))))))))))))))))))</f>
        <v>3</v>
      </c>
      <c r="M209" s="23">
        <v>1</v>
      </c>
      <c r="N209" s="23">
        <v>2</v>
      </c>
      <c r="O209" s="23">
        <v>0</v>
      </c>
      <c r="P209" s="23"/>
      <c r="Q209" s="23" t="s">
        <v>45</v>
      </c>
      <c r="R209" s="23">
        <f t="shared" si="28"/>
        <v>2</v>
      </c>
      <c r="S209" s="23" t="s">
        <v>31</v>
      </c>
      <c r="T209" s="22" t="s">
        <v>163</v>
      </c>
      <c r="U209" s="23">
        <f t="shared" si="29"/>
        <v>0</v>
      </c>
      <c r="V209" s="22">
        <v>10</v>
      </c>
      <c r="W209" s="23">
        <f t="shared" si="30"/>
        <v>1500</v>
      </c>
      <c r="X209" s="23">
        <v>5</v>
      </c>
      <c r="Y209" s="38">
        <f>Data!I424</f>
        <v>60</v>
      </c>
      <c r="Z209" s="23" t="s">
        <v>82</v>
      </c>
      <c r="AA209" s="23">
        <v>2419200</v>
      </c>
      <c r="AB209" s="23" t="str">
        <f t="shared" si="31"/>
        <v>4</v>
      </c>
      <c r="AC209" s="19">
        <f>AVERAGE(Data!I424:BN424)</f>
        <v>1209612</v>
      </c>
      <c r="AD209" s="23" t="str">
        <f t="shared" si="32"/>
        <v>4</v>
      </c>
      <c r="AE209" s="38">
        <f t="shared" si="33"/>
        <v>2419140</v>
      </c>
      <c r="AF209" s="41">
        <f>Data!I425</f>
        <v>0.8</v>
      </c>
      <c r="AG209" s="19">
        <f>((Data!J425-Data!I425)+(Data!K425-Data!J425)+(Data!L425-Data!K425)+(Data!M425-Data!L425))/4</f>
        <v>-0.15750000000000003</v>
      </c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</row>
    <row r="210" spans="1:118" ht="12" customHeight="1" x14ac:dyDescent="0.2">
      <c r="A210" s="27">
        <v>43509</v>
      </c>
      <c r="B210" s="1" t="s">
        <v>100</v>
      </c>
      <c r="C210" s="1" t="s">
        <v>101</v>
      </c>
      <c r="D210" s="23">
        <v>1970</v>
      </c>
      <c r="E210" s="38">
        <v>1</v>
      </c>
      <c r="F210" s="23">
        <v>150</v>
      </c>
      <c r="G210" s="23">
        <v>15</v>
      </c>
      <c r="H210" s="23" t="s">
        <v>32</v>
      </c>
      <c r="I210" s="23" t="s">
        <v>444</v>
      </c>
      <c r="J210" s="23" t="s">
        <v>445</v>
      </c>
      <c r="K210" s="23">
        <f t="shared" si="27"/>
        <v>17</v>
      </c>
      <c r="L210" s="23">
        <f t="shared" si="35"/>
        <v>3</v>
      </c>
      <c r="M210" s="23">
        <v>1</v>
      </c>
      <c r="N210" s="23">
        <v>2</v>
      </c>
      <c r="O210" s="23">
        <v>0</v>
      </c>
      <c r="P210" s="23"/>
      <c r="Q210" s="23" t="s">
        <v>45</v>
      </c>
      <c r="R210" s="23">
        <f t="shared" si="28"/>
        <v>2</v>
      </c>
      <c r="S210" s="23" t="s">
        <v>31</v>
      </c>
      <c r="T210" s="22" t="s">
        <v>163</v>
      </c>
      <c r="U210" s="23">
        <f t="shared" si="29"/>
        <v>0</v>
      </c>
      <c r="V210" s="22">
        <v>10</v>
      </c>
      <c r="W210" s="23">
        <f t="shared" si="30"/>
        <v>1500</v>
      </c>
      <c r="X210" s="23">
        <v>5</v>
      </c>
      <c r="Y210" s="38">
        <f>Data!I426</f>
        <v>60</v>
      </c>
      <c r="Z210" s="23" t="s">
        <v>82</v>
      </c>
      <c r="AA210" s="23">
        <v>2419200</v>
      </c>
      <c r="AB210" s="23" t="str">
        <f t="shared" si="31"/>
        <v>4</v>
      </c>
      <c r="AC210" s="19">
        <f>AVERAGE(Data!I426:BN426)</f>
        <v>1209612</v>
      </c>
      <c r="AD210" s="23" t="str">
        <f t="shared" si="32"/>
        <v>4</v>
      </c>
      <c r="AE210" s="38">
        <f t="shared" si="33"/>
        <v>2419140</v>
      </c>
      <c r="AF210" s="41">
        <f>Data!I427</f>
        <v>0.8</v>
      </c>
      <c r="AG210" s="19">
        <f>((Data!J427-Data!I427)+(Data!K427-Data!J427)+(Data!L427-Data!K427)+(Data!M427-Data!L427))/4</f>
        <v>-0.15750000000000003</v>
      </c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</row>
    <row r="211" spans="1:118" ht="12" customHeight="1" x14ac:dyDescent="0.2">
      <c r="A211" s="27">
        <v>43912</v>
      </c>
      <c r="B211" s="32" t="s">
        <v>78</v>
      </c>
      <c r="C211" s="32" t="s">
        <v>79</v>
      </c>
      <c r="D211" s="31">
        <v>1913</v>
      </c>
      <c r="E211" s="44">
        <v>1</v>
      </c>
      <c r="F211" s="31">
        <v>5</v>
      </c>
      <c r="G211" s="31">
        <v>5</v>
      </c>
      <c r="H211" s="31" t="s">
        <v>318</v>
      </c>
      <c r="I211" s="31"/>
      <c r="J211" s="31" t="s">
        <v>12</v>
      </c>
      <c r="K211" s="31">
        <f t="shared" si="27"/>
        <v>9</v>
      </c>
      <c r="L211" s="31">
        <f t="shared" si="35"/>
        <v>2</v>
      </c>
      <c r="M211" s="31">
        <v>0</v>
      </c>
      <c r="N211" s="31">
        <v>1</v>
      </c>
      <c r="O211" s="31">
        <v>0</v>
      </c>
      <c r="P211" s="31"/>
      <c r="Q211" s="31" t="s">
        <v>23</v>
      </c>
      <c r="R211" s="31">
        <f t="shared" si="28"/>
        <v>3</v>
      </c>
      <c r="S211" s="31" t="s">
        <v>11</v>
      </c>
      <c r="T211" s="46" t="s">
        <v>342</v>
      </c>
      <c r="U211" s="31">
        <f t="shared" si="29"/>
        <v>1</v>
      </c>
      <c r="V211" s="46">
        <v>80</v>
      </c>
      <c r="W211" s="31">
        <f t="shared" si="30"/>
        <v>400</v>
      </c>
      <c r="X211" s="31">
        <v>14</v>
      </c>
      <c r="Y211" s="44">
        <f>Data!I428</f>
        <v>15</v>
      </c>
      <c r="Z211" s="31" t="s">
        <v>86</v>
      </c>
      <c r="AA211" s="31">
        <v>3628800</v>
      </c>
      <c r="AB211" s="31" t="str">
        <f t="shared" si="31"/>
        <v>4</v>
      </c>
      <c r="AC211" s="34">
        <f>AVERAGE(Data!I428:BN428)</f>
        <v>352758.21428571426</v>
      </c>
      <c r="AD211" s="31" t="str">
        <f t="shared" si="32"/>
        <v>3</v>
      </c>
      <c r="AE211" s="44">
        <f t="shared" si="33"/>
        <v>3628785</v>
      </c>
      <c r="AF211" s="45">
        <f>Data!I429</f>
        <v>0.91650000000000009</v>
      </c>
      <c r="AG211" s="34">
        <f>((Data!J429-Data!I429)+(Data!K429-Data!J429)+(Data!L429-Data!K429)+(Data!M429-Data!L429)+(Data!N429-Data!M429)+(Data!O429-Data!N429)+(Data!P429-Data!O429)+(Data!Q429-Data!P429)+(Data!R429-Data!Q429)+(Data!S429-Data!R429)+(Data!T429-Data!S429)+(Data!U429-Data!T429)+(Data!V429-Data!U429))/13</f>
        <v>-2.6269230769230781E-2</v>
      </c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</row>
    <row r="212" spans="1:118" ht="12" customHeight="1" x14ac:dyDescent="0.2">
      <c r="A212" s="27">
        <v>43897</v>
      </c>
      <c r="B212" s="29" t="s">
        <v>252</v>
      </c>
      <c r="C212" s="29" t="s">
        <v>253</v>
      </c>
      <c r="D212" s="43">
        <v>1999</v>
      </c>
      <c r="E212" s="44">
        <v>1</v>
      </c>
      <c r="F212" s="31">
        <v>1</v>
      </c>
      <c r="G212" s="31">
        <v>1</v>
      </c>
      <c r="H212" s="31" t="s">
        <v>32</v>
      </c>
      <c r="I212" s="31" t="s">
        <v>197</v>
      </c>
      <c r="J212" s="31" t="s">
        <v>206</v>
      </c>
      <c r="K212" s="31">
        <f t="shared" si="27"/>
        <v>46</v>
      </c>
      <c r="L212" s="31">
        <f t="shared" si="35"/>
        <v>7</v>
      </c>
      <c r="M212" s="31">
        <v>1</v>
      </c>
      <c r="N212" s="43">
        <v>4</v>
      </c>
      <c r="O212" s="31">
        <v>0</v>
      </c>
      <c r="P212" s="31"/>
      <c r="Q212" s="31" t="s">
        <v>106</v>
      </c>
      <c r="R212" s="31">
        <f t="shared" si="28"/>
        <v>1</v>
      </c>
      <c r="S212" s="46" t="s">
        <v>31</v>
      </c>
      <c r="T212" s="46" t="s">
        <v>342</v>
      </c>
      <c r="U212" s="31">
        <f t="shared" si="29"/>
        <v>1</v>
      </c>
      <c r="V212" s="46">
        <v>195</v>
      </c>
      <c r="W212" s="31">
        <f t="shared" si="30"/>
        <v>195</v>
      </c>
      <c r="X212" s="31">
        <v>8</v>
      </c>
      <c r="Y212" s="44">
        <f>Data!I430</f>
        <v>157680000</v>
      </c>
      <c r="Z212" s="46" t="s">
        <v>196</v>
      </c>
      <c r="AA212" s="31">
        <f>40*365*24*60*60</f>
        <v>1261440000</v>
      </c>
      <c r="AB212" s="31" t="str">
        <f t="shared" si="31"/>
        <v>4</v>
      </c>
      <c r="AC212" s="34">
        <f>AVERAGE(Data!I430:BN430)</f>
        <v>709560000</v>
      </c>
      <c r="AD212" s="31" t="str">
        <f t="shared" si="32"/>
        <v>4</v>
      </c>
      <c r="AE212" s="44">
        <f t="shared" si="33"/>
        <v>1103760000</v>
      </c>
      <c r="AF212" s="45">
        <f>Data!I431</f>
        <v>0.6</v>
      </c>
      <c r="AG212" s="34">
        <f>((Data!J431-Data!I431)+(Data!K431-Data!J431)+(Data!L431-Data!K431)+(Data!M431-Data!L431)+(Data!N431-Data!M431)+(Data!O431-Data!N431)+(Data!P431-Data!O431))/7</f>
        <v>-3.7142857142857137E-2</v>
      </c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</row>
    <row r="213" spans="1:118" ht="12" customHeight="1" x14ac:dyDescent="0.2">
      <c r="A213" s="27">
        <v>43897</v>
      </c>
      <c r="B213" s="29" t="s">
        <v>252</v>
      </c>
      <c r="C213" s="29" t="s">
        <v>253</v>
      </c>
      <c r="D213" s="43">
        <v>1999</v>
      </c>
      <c r="E213" s="44">
        <v>1</v>
      </c>
      <c r="F213" s="31">
        <v>1</v>
      </c>
      <c r="G213" s="31">
        <v>1</v>
      </c>
      <c r="H213" s="31" t="s">
        <v>32</v>
      </c>
      <c r="I213" s="31" t="s">
        <v>197</v>
      </c>
      <c r="J213" s="31" t="s">
        <v>206</v>
      </c>
      <c r="K213" s="31">
        <f t="shared" si="27"/>
        <v>46</v>
      </c>
      <c r="L213" s="31">
        <f t="shared" si="35"/>
        <v>7</v>
      </c>
      <c r="M213" s="31">
        <v>1</v>
      </c>
      <c r="N213" s="43">
        <v>4</v>
      </c>
      <c r="O213" s="31">
        <v>0</v>
      </c>
      <c r="P213" s="31"/>
      <c r="Q213" s="31" t="s">
        <v>111</v>
      </c>
      <c r="R213" s="31">
        <f t="shared" si="28"/>
        <v>4</v>
      </c>
      <c r="S213" s="31" t="s">
        <v>11</v>
      </c>
      <c r="T213" s="46" t="s">
        <v>342</v>
      </c>
      <c r="U213" s="31">
        <f t="shared" si="29"/>
        <v>1</v>
      </c>
      <c r="V213" s="46">
        <v>195</v>
      </c>
      <c r="W213" s="31">
        <f t="shared" si="30"/>
        <v>195</v>
      </c>
      <c r="X213" s="31">
        <v>8</v>
      </c>
      <c r="Y213" s="44">
        <f>Data!I432</f>
        <v>157680000</v>
      </c>
      <c r="Z213" s="46" t="s">
        <v>196</v>
      </c>
      <c r="AA213" s="31">
        <f>40*365*24*60*60</f>
        <v>1261440000</v>
      </c>
      <c r="AB213" s="31" t="str">
        <f t="shared" si="31"/>
        <v>4</v>
      </c>
      <c r="AC213" s="34">
        <f>AVERAGE(Data!I432:BN432)</f>
        <v>709560000</v>
      </c>
      <c r="AD213" s="31" t="str">
        <f t="shared" si="32"/>
        <v>4</v>
      </c>
      <c r="AE213" s="44">
        <f t="shared" si="33"/>
        <v>1103760000</v>
      </c>
      <c r="AF213" s="45">
        <f>Data!I433</f>
        <v>1</v>
      </c>
      <c r="AG213" s="34">
        <f>((Data!J433-Data!I433)+(Data!K433-Data!J433)+(Data!L433-Data!K433)+(Data!M433-Data!L433)+(Data!N433-Data!M433)+(Data!O433-Data!N433)+(Data!P433-Data!O433))/7</f>
        <v>-5.2857142857142859E-2</v>
      </c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</row>
    <row r="214" spans="1:118" ht="12" customHeight="1" x14ac:dyDescent="0.25">
      <c r="A214" s="27">
        <v>43509</v>
      </c>
      <c r="B214" s="48" t="s">
        <v>165</v>
      </c>
      <c r="C214" s="48" t="s">
        <v>81</v>
      </c>
      <c r="D214" s="46">
        <v>1996</v>
      </c>
      <c r="E214" s="56">
        <v>1</v>
      </c>
      <c r="F214" s="46">
        <v>6</v>
      </c>
      <c r="G214" s="46">
        <v>6</v>
      </c>
      <c r="H214" s="46" t="s">
        <v>446</v>
      </c>
      <c r="I214" s="46" t="s">
        <v>424</v>
      </c>
      <c r="J214" s="46" t="s">
        <v>375</v>
      </c>
      <c r="K214" s="31">
        <f t="shared" si="27"/>
        <v>44</v>
      </c>
      <c r="L214" s="31">
        <f t="shared" si="35"/>
        <v>7</v>
      </c>
      <c r="M214" s="46">
        <v>0</v>
      </c>
      <c r="N214" s="46">
        <v>3</v>
      </c>
      <c r="O214" s="46">
        <v>0</v>
      </c>
      <c r="P214" s="46"/>
      <c r="Q214" s="46" t="s">
        <v>106</v>
      </c>
      <c r="R214" s="31">
        <f t="shared" si="28"/>
        <v>1</v>
      </c>
      <c r="S214" s="31" t="s">
        <v>31</v>
      </c>
      <c r="T214" s="46" t="s">
        <v>342</v>
      </c>
      <c r="U214" s="31">
        <f t="shared" si="29"/>
        <v>1</v>
      </c>
      <c r="V214" s="46">
        <v>800</v>
      </c>
      <c r="W214" s="31">
        <f t="shared" si="30"/>
        <v>4800</v>
      </c>
      <c r="X214" s="46">
        <v>9</v>
      </c>
      <c r="Y214" s="44">
        <f>Data!I434</f>
        <v>8640000</v>
      </c>
      <c r="Z214" s="46" t="s">
        <v>166</v>
      </c>
      <c r="AA214" s="46">
        <f>24*3600*900</f>
        <v>77760000</v>
      </c>
      <c r="AB214" s="31" t="str">
        <f t="shared" si="31"/>
        <v>4</v>
      </c>
      <c r="AC214" s="34">
        <f>AVERAGE(Data!I434:BN434)</f>
        <v>43200000</v>
      </c>
      <c r="AD214" s="31" t="str">
        <f t="shared" si="32"/>
        <v>4</v>
      </c>
      <c r="AE214" s="44">
        <f t="shared" si="33"/>
        <v>69120000</v>
      </c>
      <c r="AF214" s="45">
        <f>Data!I435</f>
        <v>0.89</v>
      </c>
      <c r="AG214" s="34">
        <f>((Data!J435-Data!I435)+(Data!K435-Data!J435)+(Data!L435-Data!K435)+(Data!M435-Data!L435)+(Data!N435-Data!M435)+(Data!O435-Data!N435)+(Data!P435-Data!O435)+(Data!Q435-Data!P435))/8</f>
        <v>-2.1250000000000005E-2</v>
      </c>
      <c r="DN214" s="3"/>
    </row>
    <row r="215" spans="1:118" s="3" customFormat="1" ht="12" customHeight="1" x14ac:dyDescent="0.25">
      <c r="A215" s="27">
        <v>43509</v>
      </c>
      <c r="B215" s="48" t="s">
        <v>165</v>
      </c>
      <c r="C215" s="48" t="s">
        <v>81</v>
      </c>
      <c r="D215" s="46">
        <v>1996</v>
      </c>
      <c r="E215" s="56">
        <v>1</v>
      </c>
      <c r="F215" s="46">
        <v>6</v>
      </c>
      <c r="G215" s="46">
        <v>6</v>
      </c>
      <c r="H215" s="46" t="s">
        <v>446</v>
      </c>
      <c r="I215" s="46" t="s">
        <v>425</v>
      </c>
      <c r="J215" s="46" t="s">
        <v>375</v>
      </c>
      <c r="K215" s="31">
        <f t="shared" si="27"/>
        <v>44</v>
      </c>
      <c r="L215" s="31">
        <f t="shared" si="35"/>
        <v>7</v>
      </c>
      <c r="M215" s="46">
        <v>0</v>
      </c>
      <c r="N215" s="46">
        <v>3</v>
      </c>
      <c r="O215" s="46">
        <v>0</v>
      </c>
      <c r="P215" s="46"/>
      <c r="Q215" s="46" t="s">
        <v>106</v>
      </c>
      <c r="R215" s="31">
        <f t="shared" si="28"/>
        <v>1</v>
      </c>
      <c r="S215" s="31" t="s">
        <v>31</v>
      </c>
      <c r="T215" s="46" t="s">
        <v>342</v>
      </c>
      <c r="U215" s="31">
        <f t="shared" si="29"/>
        <v>1</v>
      </c>
      <c r="V215" s="46">
        <v>800</v>
      </c>
      <c r="W215" s="31">
        <f t="shared" si="30"/>
        <v>4800</v>
      </c>
      <c r="X215" s="46">
        <v>9</v>
      </c>
      <c r="Y215" s="44">
        <f>Data!I436</f>
        <v>8640000</v>
      </c>
      <c r="Z215" s="46" t="s">
        <v>166</v>
      </c>
      <c r="AA215" s="46">
        <f>24*3600*900</f>
        <v>77760000</v>
      </c>
      <c r="AB215" s="31" t="str">
        <f t="shared" si="31"/>
        <v>4</v>
      </c>
      <c r="AC215" s="34">
        <f>AVERAGE(Data!I436:BN436)</f>
        <v>43200000</v>
      </c>
      <c r="AD215" s="31" t="str">
        <f t="shared" si="32"/>
        <v>4</v>
      </c>
      <c r="AE215" s="44">
        <f t="shared" si="33"/>
        <v>69120000</v>
      </c>
      <c r="AF215" s="45">
        <f>Data!I437</f>
        <v>0.89500000000000002</v>
      </c>
      <c r="AG215" s="34">
        <f>((Data!J437-Data!I437)+(Data!K437-Data!J437)+(Data!L437-Data!K437)+(Data!M437-Data!L437)+(Data!N437-Data!M437)+(Data!O437-Data!N437)+(Data!P437-Data!O437)+(Data!Q437-Data!P437))/8</f>
        <v>-3.9375000000000007E-2</v>
      </c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</row>
    <row r="216" spans="1:118" s="3" customFormat="1" ht="12" customHeight="1" x14ac:dyDescent="0.25">
      <c r="A216" s="27">
        <v>43979</v>
      </c>
      <c r="B216" s="5" t="s">
        <v>520</v>
      </c>
      <c r="C216" s="5" t="s">
        <v>243</v>
      </c>
      <c r="D216" s="22">
        <v>2011</v>
      </c>
      <c r="E216" s="37">
        <v>1</v>
      </c>
      <c r="F216" s="22">
        <v>15</v>
      </c>
      <c r="G216" s="22">
        <v>15</v>
      </c>
      <c r="H216" s="22" t="s">
        <v>438</v>
      </c>
      <c r="I216" s="22" t="s">
        <v>197</v>
      </c>
      <c r="J216" s="22" t="s">
        <v>375</v>
      </c>
      <c r="K216" s="23">
        <f t="shared" si="27"/>
        <v>44</v>
      </c>
      <c r="L216" s="23">
        <f t="shared" si="35"/>
        <v>7</v>
      </c>
      <c r="M216" s="22">
        <v>0</v>
      </c>
      <c r="N216" s="22">
        <v>3</v>
      </c>
      <c r="O216" s="22">
        <v>0</v>
      </c>
      <c r="P216" s="22"/>
      <c r="Q216" s="22" t="s">
        <v>45</v>
      </c>
      <c r="R216" s="23">
        <f t="shared" si="28"/>
        <v>2</v>
      </c>
      <c r="S216" s="23" t="s">
        <v>31</v>
      </c>
      <c r="T216" s="22" t="s">
        <v>342</v>
      </c>
      <c r="U216" s="23">
        <f t="shared" si="29"/>
        <v>1</v>
      </c>
      <c r="V216" s="22">
        <v>25</v>
      </c>
      <c r="W216" s="23">
        <f t="shared" si="30"/>
        <v>375</v>
      </c>
      <c r="X216" s="22">
        <v>5</v>
      </c>
      <c r="Y216" s="38">
        <f>Data!I438</f>
        <v>1296000</v>
      </c>
      <c r="Z216" s="23" t="s">
        <v>521</v>
      </c>
      <c r="AA216" s="23">
        <f>60*60*24*265*22</f>
        <v>503712000</v>
      </c>
      <c r="AB216" s="23" t="str">
        <f t="shared" si="31"/>
        <v>4</v>
      </c>
      <c r="AC216" s="19">
        <f>AVERAGE(Data!I438:BN438)</f>
        <v>274622400</v>
      </c>
      <c r="AD216" s="23" t="str">
        <f t="shared" si="32"/>
        <v>4</v>
      </c>
      <c r="AE216" s="38">
        <f t="shared" si="33"/>
        <v>502416000</v>
      </c>
      <c r="AF216" s="41">
        <f>Data!I439</f>
        <v>0.76182432432432001</v>
      </c>
      <c r="AG216" s="19">
        <f>((Data!J439-Data!I439)+(Data!K439-Data!J439)+(Data!L439-Data!K439)+(Data!M439-Data!L439))/4</f>
        <v>-9.0456081081079998E-2</v>
      </c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</row>
    <row r="217" spans="1:118" s="3" customFormat="1" ht="12" customHeight="1" x14ac:dyDescent="0.2">
      <c r="A217" s="27">
        <v>43509</v>
      </c>
      <c r="B217" s="32" t="s">
        <v>159</v>
      </c>
      <c r="C217" s="32" t="s">
        <v>58</v>
      </c>
      <c r="D217" s="31">
        <v>1932</v>
      </c>
      <c r="E217" s="44">
        <v>1</v>
      </c>
      <c r="F217" s="31">
        <v>2</v>
      </c>
      <c r="G217" s="31">
        <v>2</v>
      </c>
      <c r="H217" s="31" t="s">
        <v>25</v>
      </c>
      <c r="I217" s="31" t="s">
        <v>373</v>
      </c>
      <c r="J217" s="31" t="s">
        <v>174</v>
      </c>
      <c r="K217" s="31">
        <f t="shared" si="27"/>
        <v>1</v>
      </c>
      <c r="L217" s="31">
        <f t="shared" si="35"/>
        <v>1</v>
      </c>
      <c r="M217" s="31">
        <v>1</v>
      </c>
      <c r="N217" s="31">
        <v>2</v>
      </c>
      <c r="O217" s="31">
        <v>0</v>
      </c>
      <c r="P217" s="31"/>
      <c r="Q217" s="31" t="s">
        <v>59</v>
      </c>
      <c r="R217" s="31">
        <f t="shared" si="28"/>
        <v>5</v>
      </c>
      <c r="S217" s="31" t="s">
        <v>147</v>
      </c>
      <c r="T217" s="46" t="s">
        <v>342</v>
      </c>
      <c r="U217" s="31">
        <f t="shared" si="29"/>
        <v>1</v>
      </c>
      <c r="V217" s="46">
        <v>120</v>
      </c>
      <c r="W217" s="31">
        <f t="shared" si="30"/>
        <v>240</v>
      </c>
      <c r="X217" s="31">
        <v>5</v>
      </c>
      <c r="Y217" s="44">
        <f>Data!I442</f>
        <v>30</v>
      </c>
      <c r="Z217" s="31" t="s">
        <v>57</v>
      </c>
      <c r="AA217" s="31">
        <v>28800</v>
      </c>
      <c r="AB217" s="31" t="str">
        <f t="shared" si="31"/>
        <v>2</v>
      </c>
      <c r="AC217" s="34">
        <f>AVERAGE(Data!I442:BN442)</f>
        <v>10806</v>
      </c>
      <c r="AD217" s="31" t="str">
        <f t="shared" si="32"/>
        <v>2</v>
      </c>
      <c r="AE217" s="44">
        <f t="shared" si="33"/>
        <v>28770</v>
      </c>
      <c r="AF217" s="45">
        <f>Data!I443</f>
        <v>1</v>
      </c>
      <c r="AG217" s="34">
        <f>((Data!J443-Data!I443)+(Data!K443-Data!J443)+(Data!L443-Data!K443)+(Data!M443-Data!L443))/4</f>
        <v>-0.16575000000000001</v>
      </c>
      <c r="DN217" s="4"/>
    </row>
    <row r="218" spans="1:118" s="3" customFormat="1" ht="12" customHeight="1" x14ac:dyDescent="0.2">
      <c r="A218" s="27">
        <v>43509</v>
      </c>
      <c r="B218" s="32" t="s">
        <v>159</v>
      </c>
      <c r="C218" s="32" t="s">
        <v>58</v>
      </c>
      <c r="D218" s="31">
        <v>1932</v>
      </c>
      <c r="E218" s="44">
        <v>1</v>
      </c>
      <c r="F218" s="31">
        <v>2</v>
      </c>
      <c r="G218" s="31">
        <v>2</v>
      </c>
      <c r="H218" s="31" t="s">
        <v>25</v>
      </c>
      <c r="I218" s="31" t="s">
        <v>374</v>
      </c>
      <c r="J218" s="31" t="s">
        <v>174</v>
      </c>
      <c r="K218" s="31">
        <f t="shared" si="27"/>
        <v>1</v>
      </c>
      <c r="L218" s="31">
        <f t="shared" si="35"/>
        <v>1</v>
      </c>
      <c r="M218" s="31">
        <v>1</v>
      </c>
      <c r="N218" s="31">
        <v>2</v>
      </c>
      <c r="O218" s="31">
        <v>0</v>
      </c>
      <c r="P218" s="31"/>
      <c r="Q218" s="31" t="s">
        <v>59</v>
      </c>
      <c r="R218" s="31">
        <f t="shared" si="28"/>
        <v>5</v>
      </c>
      <c r="S218" s="31" t="s">
        <v>147</v>
      </c>
      <c r="T218" s="46" t="s">
        <v>342</v>
      </c>
      <c r="U218" s="31">
        <f t="shared" si="29"/>
        <v>1</v>
      </c>
      <c r="V218" s="46">
        <v>120</v>
      </c>
      <c r="W218" s="31">
        <f t="shared" si="30"/>
        <v>240</v>
      </c>
      <c r="X218" s="31">
        <v>5</v>
      </c>
      <c r="Y218" s="44">
        <f>Data!I444</f>
        <v>30</v>
      </c>
      <c r="Z218" s="31" t="s">
        <v>57</v>
      </c>
      <c r="AA218" s="31">
        <v>28800</v>
      </c>
      <c r="AB218" s="31" t="str">
        <f t="shared" si="31"/>
        <v>2</v>
      </c>
      <c r="AC218" s="34">
        <f>AVERAGE(Data!I444:BN444)</f>
        <v>10806</v>
      </c>
      <c r="AD218" s="31" t="str">
        <f t="shared" si="32"/>
        <v>2</v>
      </c>
      <c r="AE218" s="44">
        <f t="shared" si="33"/>
        <v>28770</v>
      </c>
      <c r="AF218" s="45">
        <f>Data!I445</f>
        <v>1</v>
      </c>
      <c r="AG218" s="34">
        <f>((Data!J445-Data!I445)+(Data!K445-Data!J445)+(Data!L445-Data!K445)+(Data!M445-Data!L445))/4</f>
        <v>-0.19025000000000003</v>
      </c>
      <c r="DN218" s="4"/>
    </row>
    <row r="219" spans="1:118" s="3" customFormat="1" ht="12" customHeight="1" x14ac:dyDescent="0.2">
      <c r="A219" s="27">
        <v>43896</v>
      </c>
      <c r="B219" s="1" t="s">
        <v>219</v>
      </c>
      <c r="C219" s="1" t="s">
        <v>36</v>
      </c>
      <c r="D219" s="23">
        <v>1993</v>
      </c>
      <c r="E219" s="38">
        <v>1</v>
      </c>
      <c r="F219" s="23">
        <v>9</v>
      </c>
      <c r="G219" s="23">
        <v>9</v>
      </c>
      <c r="H219" s="23" t="s">
        <v>220</v>
      </c>
      <c r="I219" s="23" t="s">
        <v>197</v>
      </c>
      <c r="J219" s="23" t="s">
        <v>206</v>
      </c>
      <c r="K219" s="23">
        <f t="shared" si="27"/>
        <v>46</v>
      </c>
      <c r="L219" s="23">
        <f t="shared" si="35"/>
        <v>7</v>
      </c>
      <c r="M219" s="23">
        <v>1</v>
      </c>
      <c r="N219" s="22">
        <v>4</v>
      </c>
      <c r="O219" s="23">
        <v>0</v>
      </c>
      <c r="P219" s="23"/>
      <c r="Q219" s="23" t="s">
        <v>111</v>
      </c>
      <c r="R219" s="23">
        <f t="shared" si="28"/>
        <v>4</v>
      </c>
      <c r="S219" s="23" t="s">
        <v>11</v>
      </c>
      <c r="T219" s="22" t="s">
        <v>342</v>
      </c>
      <c r="U219" s="23">
        <f t="shared" si="29"/>
        <v>1</v>
      </c>
      <c r="V219" s="22">
        <v>100</v>
      </c>
      <c r="W219" s="23">
        <f t="shared" si="30"/>
        <v>900</v>
      </c>
      <c r="X219" s="23">
        <v>10</v>
      </c>
      <c r="Y219" s="38">
        <f>Data!I452</f>
        <v>157680000</v>
      </c>
      <c r="Z219" s="23" t="s">
        <v>130</v>
      </c>
      <c r="AA219" s="23">
        <f>50*365*24*60*60</f>
        <v>1576800000</v>
      </c>
      <c r="AB219" s="23" t="str">
        <f t="shared" si="31"/>
        <v>4</v>
      </c>
      <c r="AC219" s="19">
        <f>AVERAGE(Data!I452:BN452)</f>
        <v>864240000</v>
      </c>
      <c r="AD219" s="23" t="str">
        <f t="shared" si="32"/>
        <v>4</v>
      </c>
      <c r="AE219" s="38">
        <f t="shared" si="33"/>
        <v>1419120000</v>
      </c>
      <c r="AF219" s="41">
        <f>Data!I453</f>
        <v>0.77500000000000002</v>
      </c>
      <c r="AG219" s="19">
        <f>((Data!J453-Data!I453)+(Data!K453-Data!J453)+(Data!L453-Data!K453)+(Data!M453-Data!L453)+(Data!N453-Data!M453)+(Data!O453-Data!N453)+(Data!P453-Data!O453)+(Data!Q453-Data!P453)+(Data!R453-Data!Q453))/9</f>
        <v>-5.8333333333333334E-2</v>
      </c>
    </row>
    <row r="220" spans="1:118" s="3" customFormat="1" ht="12" customHeight="1" x14ac:dyDescent="0.2">
      <c r="A220" s="27">
        <v>43896</v>
      </c>
      <c r="B220" s="1" t="s">
        <v>219</v>
      </c>
      <c r="C220" s="1" t="s">
        <v>36</v>
      </c>
      <c r="D220" s="23">
        <v>1993</v>
      </c>
      <c r="E220" s="38">
        <v>1</v>
      </c>
      <c r="F220" s="23">
        <v>10</v>
      </c>
      <c r="G220" s="23">
        <v>10</v>
      </c>
      <c r="H220" s="23" t="s">
        <v>220</v>
      </c>
      <c r="I220" s="23" t="s">
        <v>197</v>
      </c>
      <c r="J220" s="23" t="s">
        <v>206</v>
      </c>
      <c r="K220" s="23">
        <f t="shared" si="27"/>
        <v>46</v>
      </c>
      <c r="L220" s="23">
        <f t="shared" si="35"/>
        <v>7</v>
      </c>
      <c r="M220" s="23">
        <v>1</v>
      </c>
      <c r="N220" s="22">
        <v>4</v>
      </c>
      <c r="O220" s="23">
        <v>0</v>
      </c>
      <c r="P220" s="23"/>
      <c r="Q220" s="23" t="s">
        <v>106</v>
      </c>
      <c r="R220" s="23">
        <f t="shared" si="28"/>
        <v>1</v>
      </c>
      <c r="S220" s="23" t="s">
        <v>31</v>
      </c>
      <c r="T220" s="22" t="s">
        <v>342</v>
      </c>
      <c r="U220" s="23">
        <f t="shared" si="29"/>
        <v>1</v>
      </c>
      <c r="V220" s="22">
        <v>100</v>
      </c>
      <c r="W220" s="23">
        <f t="shared" si="30"/>
        <v>1000</v>
      </c>
      <c r="X220" s="23">
        <v>8</v>
      </c>
      <c r="Y220" s="38">
        <f>Data!I448</f>
        <v>157680000</v>
      </c>
      <c r="Z220" s="23" t="s">
        <v>130</v>
      </c>
      <c r="AA220" s="23">
        <f>50*365*24*60*60</f>
        <v>1576800000</v>
      </c>
      <c r="AB220" s="23" t="str">
        <f t="shared" si="31"/>
        <v>4</v>
      </c>
      <c r="AC220" s="19">
        <f>AVERAGE(Data!I448:BN448)</f>
        <v>705810000</v>
      </c>
      <c r="AD220" s="23" t="str">
        <f t="shared" si="32"/>
        <v>4</v>
      </c>
      <c r="AE220" s="38">
        <f t="shared" si="33"/>
        <v>1419120000</v>
      </c>
      <c r="AF220" s="41">
        <f>Data!I449</f>
        <v>0.42</v>
      </c>
      <c r="AG220" s="19">
        <f>((Data!J449-Data!I449)+(Data!K449-Data!J449)+(Data!L449-Data!K449)+(Data!M449-Data!L449)+(Data!N449-Data!M449)+(Data!O449-Data!N449)+(Data!P449-Data!O449))/7</f>
        <v>-4.8571428571428564E-2</v>
      </c>
    </row>
    <row r="221" spans="1:118" s="3" customFormat="1" ht="12" customHeight="1" x14ac:dyDescent="0.2">
      <c r="A221" s="27">
        <v>43896</v>
      </c>
      <c r="B221" s="1" t="s">
        <v>219</v>
      </c>
      <c r="C221" s="1" t="s">
        <v>36</v>
      </c>
      <c r="D221" s="23">
        <v>1993</v>
      </c>
      <c r="E221" s="38">
        <v>1</v>
      </c>
      <c r="F221" s="23">
        <v>10</v>
      </c>
      <c r="G221" s="23">
        <v>10</v>
      </c>
      <c r="H221" s="23" t="s">
        <v>220</v>
      </c>
      <c r="I221" s="23" t="s">
        <v>197</v>
      </c>
      <c r="J221" s="23" t="s">
        <v>206</v>
      </c>
      <c r="K221" s="23">
        <f t="shared" si="27"/>
        <v>46</v>
      </c>
      <c r="L221" s="23">
        <f t="shared" si="35"/>
        <v>7</v>
      </c>
      <c r="M221" s="23">
        <v>1</v>
      </c>
      <c r="N221" s="22">
        <v>4</v>
      </c>
      <c r="O221" s="23">
        <v>0</v>
      </c>
      <c r="P221" s="23"/>
      <c r="Q221" s="23" t="s">
        <v>111</v>
      </c>
      <c r="R221" s="23">
        <f t="shared" si="28"/>
        <v>4</v>
      </c>
      <c r="S221" s="23" t="s">
        <v>11</v>
      </c>
      <c r="T221" s="22" t="s">
        <v>342</v>
      </c>
      <c r="U221" s="23">
        <f t="shared" si="29"/>
        <v>1</v>
      </c>
      <c r="V221" s="22">
        <v>100</v>
      </c>
      <c r="W221" s="23">
        <f t="shared" si="30"/>
        <v>1000</v>
      </c>
      <c r="X221" s="23">
        <v>8</v>
      </c>
      <c r="Y221" s="38">
        <f>Data!I450</f>
        <v>157680000</v>
      </c>
      <c r="Z221" s="23" t="s">
        <v>130</v>
      </c>
      <c r="AA221" s="23">
        <f>50*365*24*60*60</f>
        <v>1576800000</v>
      </c>
      <c r="AB221" s="23" t="str">
        <f t="shared" si="31"/>
        <v>4</v>
      </c>
      <c r="AC221" s="19">
        <f>AVERAGE(Data!I450:BN450)</f>
        <v>705810000</v>
      </c>
      <c r="AD221" s="23" t="str">
        <f t="shared" si="32"/>
        <v>4</v>
      </c>
      <c r="AE221" s="38">
        <f t="shared" si="33"/>
        <v>1419120000</v>
      </c>
      <c r="AF221" s="41">
        <f>Data!I451</f>
        <v>0.92</v>
      </c>
      <c r="AG221" s="19">
        <f>((Data!J451-Data!I451)+(Data!K451-Data!J451)+(Data!L451-Data!K451)+(Data!M451-Data!L451)+(Data!N451-Data!M451)+(Data!O451-Data!N451)+(Data!P451-Data!O451))/7</f>
        <v>-4.2857142857142864E-2</v>
      </c>
    </row>
    <row r="222" spans="1:118" s="3" customFormat="1" ht="12" customHeight="1" x14ac:dyDescent="0.2">
      <c r="A222" s="27">
        <v>43896</v>
      </c>
      <c r="B222" s="1" t="s">
        <v>219</v>
      </c>
      <c r="C222" s="1" t="s">
        <v>36</v>
      </c>
      <c r="D222" s="23">
        <v>1993</v>
      </c>
      <c r="E222" s="38">
        <v>1</v>
      </c>
      <c r="F222" s="23">
        <v>10</v>
      </c>
      <c r="G222" s="23">
        <v>10</v>
      </c>
      <c r="H222" s="23" t="s">
        <v>220</v>
      </c>
      <c r="I222" s="23" t="s">
        <v>197</v>
      </c>
      <c r="J222" s="23" t="s">
        <v>208</v>
      </c>
      <c r="K222" s="23">
        <f t="shared" si="27"/>
        <v>26</v>
      </c>
      <c r="L222" s="23">
        <f t="shared" si="35"/>
        <v>4</v>
      </c>
      <c r="M222" s="23">
        <v>1</v>
      </c>
      <c r="N222" s="24">
        <v>2</v>
      </c>
      <c r="O222" s="23">
        <v>0</v>
      </c>
      <c r="P222" s="23"/>
      <c r="Q222" s="23" t="s">
        <v>106</v>
      </c>
      <c r="R222" s="23">
        <f t="shared" si="28"/>
        <v>1</v>
      </c>
      <c r="S222" s="23" t="s">
        <v>31</v>
      </c>
      <c r="T222" s="22" t="s">
        <v>342</v>
      </c>
      <c r="U222" s="23">
        <f t="shared" si="29"/>
        <v>1</v>
      </c>
      <c r="V222" s="22">
        <v>120</v>
      </c>
      <c r="W222" s="23">
        <f t="shared" si="30"/>
        <v>1200</v>
      </c>
      <c r="X222" s="23">
        <v>5</v>
      </c>
      <c r="Y222" s="38">
        <f>Data!I446</f>
        <v>473040000</v>
      </c>
      <c r="Z222" s="23" t="s">
        <v>230</v>
      </c>
      <c r="AA222" s="23">
        <f>55*365*24*60*60</f>
        <v>1734480000</v>
      </c>
      <c r="AB222" s="23" t="str">
        <f t="shared" si="31"/>
        <v>4</v>
      </c>
      <c r="AC222" s="19">
        <f>AVERAGE(Data!I446:BN446)</f>
        <v>1103760000</v>
      </c>
      <c r="AD222" s="23" t="str">
        <f t="shared" si="32"/>
        <v>4</v>
      </c>
      <c r="AE222" s="38">
        <f t="shared" si="33"/>
        <v>1261440000</v>
      </c>
      <c r="AF222" s="41">
        <f>Data!I447</f>
        <v>0.6</v>
      </c>
      <c r="AG222" s="19">
        <f>((Data!J447-Data!I447)+(Data!K447-Data!J447)+(Data!L447-Data!K447)+(Data!M447-Data!L447))/4</f>
        <v>-3.8392857142857145E-2</v>
      </c>
      <c r="DN222" s="4"/>
    </row>
    <row r="223" spans="1:118" s="3" customFormat="1" ht="12" customHeight="1" x14ac:dyDescent="0.2">
      <c r="A223" s="27">
        <v>43509</v>
      </c>
      <c r="B223" s="32" t="s">
        <v>141</v>
      </c>
      <c r="C223" s="32" t="s">
        <v>142</v>
      </c>
      <c r="D223" s="31">
        <v>1986</v>
      </c>
      <c r="E223" s="44">
        <v>1</v>
      </c>
      <c r="F223" s="31">
        <v>1</v>
      </c>
      <c r="G223" s="31">
        <v>1</v>
      </c>
      <c r="H223" s="31" t="s">
        <v>25</v>
      </c>
      <c r="I223" s="31"/>
      <c r="J223" s="31" t="s">
        <v>375</v>
      </c>
      <c r="K223" s="31">
        <f t="shared" si="27"/>
        <v>44</v>
      </c>
      <c r="L223" s="31">
        <f t="shared" si="35"/>
        <v>7</v>
      </c>
      <c r="M223" s="31">
        <v>0</v>
      </c>
      <c r="N223" s="31">
        <v>3</v>
      </c>
      <c r="O223" s="31">
        <v>0</v>
      </c>
      <c r="P223" s="31"/>
      <c r="Q223" s="31" t="s">
        <v>106</v>
      </c>
      <c r="R223" s="31">
        <f t="shared" si="28"/>
        <v>1</v>
      </c>
      <c r="S223" s="31" t="s">
        <v>31</v>
      </c>
      <c r="T223" s="46" t="s">
        <v>342</v>
      </c>
      <c r="U223" s="31">
        <f t="shared" si="29"/>
        <v>1</v>
      </c>
      <c r="V223" s="46">
        <v>2400</v>
      </c>
      <c r="W223" s="31">
        <f t="shared" si="30"/>
        <v>2400</v>
      </c>
      <c r="X223" s="31">
        <v>10</v>
      </c>
      <c r="Y223" s="44">
        <f>Data!I454</f>
        <v>15768000</v>
      </c>
      <c r="Z223" s="31" t="s">
        <v>189</v>
      </c>
      <c r="AA223" s="31">
        <f>5*365*24*60*60</f>
        <v>157680000</v>
      </c>
      <c r="AB223" s="31" t="str">
        <f t="shared" si="31"/>
        <v>4</v>
      </c>
      <c r="AC223" s="34">
        <f>AVERAGE(Data!I454:BN454)</f>
        <v>86724000</v>
      </c>
      <c r="AD223" s="31" t="str">
        <f t="shared" si="32"/>
        <v>4</v>
      </c>
      <c r="AE223" s="44">
        <f t="shared" si="33"/>
        <v>141912000</v>
      </c>
      <c r="AF223" s="45">
        <f>Data!I455</f>
        <v>0.7</v>
      </c>
      <c r="AG223" s="34">
        <f>((Data!J455-Data!I455)+(Data!K455-Data!J455)+(Data!L455-Data!K455)+(Data!M455-Data!L455)+(Data!N455-Data!M455)+(Data!O455-Data!N455)+(Data!P455-Data!O455)+(Data!Q455-Data!P455)+(Data!R455-Data!Q455))/9</f>
        <v>-4.4444444444444439E-2</v>
      </c>
    </row>
    <row r="224" spans="1:118" s="3" customFormat="1" ht="12" customHeight="1" x14ac:dyDescent="0.2">
      <c r="A224" s="27">
        <v>43509</v>
      </c>
      <c r="B224" s="32" t="s">
        <v>121</v>
      </c>
      <c r="C224" s="32" t="s">
        <v>56</v>
      </c>
      <c r="D224" s="31">
        <v>2004</v>
      </c>
      <c r="E224" s="44">
        <v>1</v>
      </c>
      <c r="F224" s="31">
        <v>421</v>
      </c>
      <c r="G224" s="31">
        <v>421</v>
      </c>
      <c r="H224" s="31" t="s">
        <v>25</v>
      </c>
      <c r="I224" s="31"/>
      <c r="J224" s="31" t="s">
        <v>417</v>
      </c>
      <c r="K224" s="31">
        <f t="shared" si="27"/>
        <v>41</v>
      </c>
      <c r="L224" s="31">
        <f t="shared" si="35"/>
        <v>7</v>
      </c>
      <c r="M224" s="31">
        <v>1</v>
      </c>
      <c r="N224" s="31">
        <v>4</v>
      </c>
      <c r="O224" s="31">
        <v>0</v>
      </c>
      <c r="P224" s="31"/>
      <c r="Q224" s="31" t="s">
        <v>106</v>
      </c>
      <c r="R224" s="31">
        <f t="shared" si="28"/>
        <v>1</v>
      </c>
      <c r="S224" s="31" t="s">
        <v>144</v>
      </c>
      <c r="T224" s="46" t="s">
        <v>342</v>
      </c>
      <c r="U224" s="31">
        <f t="shared" si="29"/>
        <v>1</v>
      </c>
      <c r="V224" s="46">
        <v>10</v>
      </c>
      <c r="W224" s="31">
        <f t="shared" si="30"/>
        <v>4210</v>
      </c>
      <c r="X224" s="31">
        <v>5</v>
      </c>
      <c r="Y224" s="44">
        <f>Data!I458</f>
        <v>172800</v>
      </c>
      <c r="Z224" s="31" t="s">
        <v>316</v>
      </c>
      <c r="AA224" s="44">
        <f>365*24*60*60</f>
        <v>31536000</v>
      </c>
      <c r="AB224" s="31" t="str">
        <f t="shared" si="31"/>
        <v>4</v>
      </c>
      <c r="AC224" s="34">
        <f>AVERAGE(Data!I458:BN458)</f>
        <v>8553600</v>
      </c>
      <c r="AD224" s="31" t="str">
        <f t="shared" si="32"/>
        <v>4</v>
      </c>
      <c r="AE224" s="44">
        <f t="shared" si="33"/>
        <v>31363200</v>
      </c>
      <c r="AF224" s="45">
        <f>Data!I459</f>
        <v>1</v>
      </c>
      <c r="AG224" s="34">
        <f>((Data!J459-Data!I459)+(Data!K459-Data!J459)+(Data!L459-Data!K459)+(Data!M459-Data!L459))/4</f>
        <v>-4.7249999999999986E-2</v>
      </c>
    </row>
    <row r="225" spans="1:118" s="3" customFormat="1" ht="12" customHeight="1" x14ac:dyDescent="0.25">
      <c r="A225" s="27">
        <v>43509</v>
      </c>
      <c r="B225" s="5" t="s">
        <v>492</v>
      </c>
      <c r="C225" s="5" t="s">
        <v>56</v>
      </c>
      <c r="D225" s="22">
        <v>1926</v>
      </c>
      <c r="E225" s="39">
        <v>2</v>
      </c>
      <c r="F225" s="22">
        <v>6</v>
      </c>
      <c r="G225" s="22">
        <v>6</v>
      </c>
      <c r="H225" s="22" t="s">
        <v>24</v>
      </c>
      <c r="I225" s="26" t="s">
        <v>459</v>
      </c>
      <c r="J225" s="22" t="s">
        <v>437</v>
      </c>
      <c r="K225" s="23">
        <f t="shared" si="27"/>
        <v>5</v>
      </c>
      <c r="L225" s="23">
        <f t="shared" si="35"/>
        <v>1</v>
      </c>
      <c r="M225" s="26">
        <v>0</v>
      </c>
      <c r="N225" s="22">
        <v>1</v>
      </c>
      <c r="O225" s="22">
        <v>0</v>
      </c>
      <c r="P225" s="22"/>
      <c r="Q225" s="22" t="s">
        <v>23</v>
      </c>
      <c r="R225" s="23">
        <f t="shared" si="28"/>
        <v>3</v>
      </c>
      <c r="S225" s="22" t="s">
        <v>11</v>
      </c>
      <c r="T225" s="22" t="s">
        <v>342</v>
      </c>
      <c r="U225" s="23">
        <f t="shared" si="29"/>
        <v>1</v>
      </c>
      <c r="V225" s="22">
        <v>65</v>
      </c>
      <c r="W225" s="23">
        <f t="shared" si="30"/>
        <v>390</v>
      </c>
      <c r="X225" s="23">
        <v>6</v>
      </c>
      <c r="Y225" s="38">
        <f>Data!I462</f>
        <v>300</v>
      </c>
      <c r="Z225" s="26" t="s">
        <v>60</v>
      </c>
      <c r="AA225" s="22">
        <f>2*24*3600</f>
        <v>172800</v>
      </c>
      <c r="AB225" s="23" t="str">
        <f t="shared" si="31"/>
        <v>3</v>
      </c>
      <c r="AC225" s="19">
        <f>AVERAGE(Data!I462:BN462)</f>
        <v>48850</v>
      </c>
      <c r="AD225" s="23" t="str">
        <f t="shared" si="32"/>
        <v>3</v>
      </c>
      <c r="AE225" s="38">
        <f t="shared" si="33"/>
        <v>172500</v>
      </c>
      <c r="AF225" s="41">
        <f>Data!I463</f>
        <v>0.73199999999999998</v>
      </c>
      <c r="AG225" s="19">
        <f>((Data!J463-Data!I463)+(Data!K463-Data!J463)+(Data!L463-Data!K463)+(Data!M463-Data!L463)+(Data!N463-Data!M463))/5</f>
        <v>-1.2999999999999989E-2</v>
      </c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</row>
    <row r="226" spans="1:118" s="3" customFormat="1" ht="12" customHeight="1" x14ac:dyDescent="0.25">
      <c r="A226" s="27">
        <v>43509</v>
      </c>
      <c r="B226" s="5" t="s">
        <v>492</v>
      </c>
      <c r="C226" s="5" t="s">
        <v>56</v>
      </c>
      <c r="D226" s="22">
        <v>1926</v>
      </c>
      <c r="E226" s="39">
        <v>2</v>
      </c>
      <c r="F226" s="22">
        <v>13</v>
      </c>
      <c r="G226" s="22">
        <v>13</v>
      </c>
      <c r="H226" s="22" t="s">
        <v>24</v>
      </c>
      <c r="I226" s="26" t="s">
        <v>460</v>
      </c>
      <c r="J226" s="22" t="s">
        <v>437</v>
      </c>
      <c r="K226" s="23">
        <f t="shared" si="27"/>
        <v>5</v>
      </c>
      <c r="L226" s="23">
        <f t="shared" si="35"/>
        <v>1</v>
      </c>
      <c r="M226" s="26">
        <v>0</v>
      </c>
      <c r="N226" s="22">
        <v>1</v>
      </c>
      <c r="O226" s="22">
        <v>0</v>
      </c>
      <c r="P226" s="22"/>
      <c r="Q226" s="22" t="s">
        <v>23</v>
      </c>
      <c r="R226" s="23">
        <f t="shared" si="28"/>
        <v>3</v>
      </c>
      <c r="S226" s="22" t="s">
        <v>11</v>
      </c>
      <c r="T226" s="22" t="s">
        <v>342</v>
      </c>
      <c r="U226" s="23">
        <f t="shared" si="29"/>
        <v>1</v>
      </c>
      <c r="V226" s="22">
        <v>65</v>
      </c>
      <c r="W226" s="23">
        <f t="shared" si="30"/>
        <v>845</v>
      </c>
      <c r="X226" s="23">
        <v>6</v>
      </c>
      <c r="Y226" s="38">
        <f>Data!I464</f>
        <v>300</v>
      </c>
      <c r="Z226" s="26" t="s">
        <v>60</v>
      </c>
      <c r="AA226" s="22">
        <f>2*24*3600</f>
        <v>172800</v>
      </c>
      <c r="AB226" s="23" t="str">
        <f t="shared" si="31"/>
        <v>3</v>
      </c>
      <c r="AC226" s="19">
        <f>AVERAGE(Data!I464:BN464)</f>
        <v>48850</v>
      </c>
      <c r="AD226" s="23" t="str">
        <f t="shared" si="32"/>
        <v>3</v>
      </c>
      <c r="AE226" s="38">
        <f t="shared" si="33"/>
        <v>172500</v>
      </c>
      <c r="AF226" s="41">
        <f>Data!I465</f>
        <v>0.66600000000000004</v>
      </c>
      <c r="AG226" s="21">
        <f>((Data!J465-Data!I465)+(Data!K465-Data!J465)+(Data!L465-Data!K465)+(Data!M465-Data!L465)+(Data!N465-Data!M465))/5</f>
        <v>-2.300000000000013E-3</v>
      </c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</row>
    <row r="227" spans="1:118" s="3" customFormat="1" ht="12" customHeight="1" x14ac:dyDescent="0.25">
      <c r="A227" s="27">
        <v>43509</v>
      </c>
      <c r="B227" s="5" t="s">
        <v>492</v>
      </c>
      <c r="C227" s="5" t="s">
        <v>56</v>
      </c>
      <c r="D227" s="22">
        <v>1926</v>
      </c>
      <c r="E227" s="39">
        <v>3</v>
      </c>
      <c r="F227" s="22">
        <v>13</v>
      </c>
      <c r="G227" s="22">
        <v>13</v>
      </c>
      <c r="H227" s="22" t="s">
        <v>20</v>
      </c>
      <c r="I227" s="26"/>
      <c r="J227" s="22" t="s">
        <v>437</v>
      </c>
      <c r="K227" s="23">
        <f t="shared" si="27"/>
        <v>5</v>
      </c>
      <c r="L227" s="23">
        <f t="shared" si="35"/>
        <v>1</v>
      </c>
      <c r="M227" s="26">
        <v>0</v>
      </c>
      <c r="N227" s="22">
        <v>1</v>
      </c>
      <c r="O227" s="22">
        <v>0</v>
      </c>
      <c r="P227" s="22"/>
      <c r="Q227" s="22" t="s">
        <v>23</v>
      </c>
      <c r="R227" s="23">
        <f t="shared" si="28"/>
        <v>3</v>
      </c>
      <c r="S227" s="22" t="s">
        <v>11</v>
      </c>
      <c r="T227" s="22" t="s">
        <v>342</v>
      </c>
      <c r="U227" s="23">
        <f t="shared" si="29"/>
        <v>1</v>
      </c>
      <c r="V227" s="22">
        <v>65</v>
      </c>
      <c r="W227" s="23">
        <f t="shared" si="30"/>
        <v>845</v>
      </c>
      <c r="X227" s="23">
        <v>6</v>
      </c>
      <c r="Y227" s="38">
        <f>Data!I466</f>
        <v>300</v>
      </c>
      <c r="Z227" s="26" t="s">
        <v>60</v>
      </c>
      <c r="AA227" s="22">
        <f>2*24*3600</f>
        <v>172800</v>
      </c>
      <c r="AB227" s="23" t="str">
        <f t="shared" si="31"/>
        <v>3</v>
      </c>
      <c r="AC227" s="19">
        <f>AVERAGE(Data!I466:BN466)</f>
        <v>48850</v>
      </c>
      <c r="AD227" s="23" t="str">
        <f t="shared" si="32"/>
        <v>3</v>
      </c>
      <c r="AE227" s="38">
        <f t="shared" si="33"/>
        <v>172500</v>
      </c>
      <c r="AF227" s="41">
        <f>Data!I467</f>
        <v>0.76550000000000007</v>
      </c>
      <c r="AG227" s="19">
        <f>((Data!J467-Data!I467)+(Data!K467-Data!J467)+(Data!L467-Data!K467)+(Data!M467-Data!L467)+(Data!N467-Data!M467))/5</f>
        <v>-3.1899999999999998E-2</v>
      </c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</row>
    <row r="228" spans="1:118" s="3" customFormat="1" ht="12" customHeight="1" x14ac:dyDescent="0.25">
      <c r="A228" s="27">
        <v>43509</v>
      </c>
      <c r="B228" s="5" t="s">
        <v>492</v>
      </c>
      <c r="C228" s="5" t="s">
        <v>56</v>
      </c>
      <c r="D228" s="22">
        <v>1926</v>
      </c>
      <c r="E228" s="39">
        <v>1</v>
      </c>
      <c r="F228" s="22">
        <v>5</v>
      </c>
      <c r="G228" s="22">
        <v>5</v>
      </c>
      <c r="H228" s="22" t="s">
        <v>24</v>
      </c>
      <c r="I228" s="26" t="s">
        <v>458</v>
      </c>
      <c r="J228" s="22" t="s">
        <v>437</v>
      </c>
      <c r="K228" s="23">
        <f t="shared" si="27"/>
        <v>5</v>
      </c>
      <c r="L228" s="23">
        <f t="shared" si="35"/>
        <v>1</v>
      </c>
      <c r="M228" s="26">
        <v>0</v>
      </c>
      <c r="N228" s="22">
        <v>1</v>
      </c>
      <c r="O228" s="22">
        <v>0</v>
      </c>
      <c r="P228" s="22"/>
      <c r="Q228" s="22" t="s">
        <v>23</v>
      </c>
      <c r="R228" s="23">
        <f t="shared" si="28"/>
        <v>3</v>
      </c>
      <c r="S228" s="22" t="s">
        <v>11</v>
      </c>
      <c r="T228" s="22" t="s">
        <v>342</v>
      </c>
      <c r="U228" s="23">
        <f t="shared" si="29"/>
        <v>1</v>
      </c>
      <c r="V228" s="22">
        <v>65</v>
      </c>
      <c r="W228" s="23">
        <f t="shared" si="30"/>
        <v>325</v>
      </c>
      <c r="X228" s="23">
        <v>5</v>
      </c>
      <c r="Y228" s="38">
        <f>Data!I460</f>
        <v>300</v>
      </c>
      <c r="Z228" s="26" t="s">
        <v>60</v>
      </c>
      <c r="AA228" s="22">
        <f>2*24*3600</f>
        <v>172800</v>
      </c>
      <c r="AB228" s="23" t="str">
        <f t="shared" si="31"/>
        <v>3</v>
      </c>
      <c r="AC228" s="19">
        <f>AVERAGE(Data!I460:BN460)</f>
        <v>52860</v>
      </c>
      <c r="AD228" s="23" t="str">
        <f t="shared" si="32"/>
        <v>3</v>
      </c>
      <c r="AE228" s="38">
        <f t="shared" si="33"/>
        <v>172500</v>
      </c>
      <c r="AF228" s="41">
        <f>Data!I461</f>
        <v>0.71</v>
      </c>
      <c r="AG228" s="19">
        <f>((Data!J461-Data!I461)+(Data!K461-Data!J461)+(Data!L461-Data!K461)+(Data!M461-Data!L461))/4</f>
        <v>-1.7499999999999988E-2</v>
      </c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</row>
    <row r="229" spans="1:118" ht="12" customHeight="1" x14ac:dyDescent="0.25">
      <c r="K229" s="23"/>
      <c r="L229" s="23"/>
      <c r="W229" s="23"/>
      <c r="Y229" s="38"/>
      <c r="AE229" s="38"/>
      <c r="AF229" s="41"/>
    </row>
    <row r="231" spans="1:118" ht="12" customHeight="1" x14ac:dyDescent="0.25">
      <c r="K231" s="23"/>
      <c r="L231" s="23"/>
    </row>
  </sheetData>
  <sortState xmlns:xlrd2="http://schemas.microsoft.com/office/spreadsheetml/2017/richdata2" ref="A2:DN231">
    <sortCondition descending="1" ref="O2:O231"/>
    <sortCondition ref="B2:B231"/>
  </sortState>
  <pageMargins left="0.7" right="0.7" top="0.75" bottom="0.75" header="0" footer="0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467"/>
  <sheetViews>
    <sheetView zoomScale="90" zoomScaleNormal="90" workbookViewId="0">
      <selection activeCell="I5" sqref="I5"/>
    </sheetView>
  </sheetViews>
  <sheetFormatPr defaultRowHeight="15" outlineLevelCol="1" x14ac:dyDescent="0.25"/>
  <cols>
    <col min="1" max="1" width="13.85546875" style="24" bestFit="1" customWidth="1"/>
    <col min="2" max="2" width="21.42578125" style="4" customWidth="1"/>
    <col min="3" max="3" width="13.85546875" style="4" customWidth="1"/>
    <col min="4" max="4" width="12" style="26" bestFit="1" customWidth="1"/>
    <col min="5" max="5" width="4.85546875" style="39" customWidth="1"/>
    <col min="6" max="6" width="14.85546875" style="26" customWidth="1"/>
    <col min="7" max="7" width="30.5703125" style="26" customWidth="1"/>
    <col min="8" max="8" width="17.28515625" style="26" customWidth="1"/>
    <col min="9" max="9" width="13.5703125" style="15" bestFit="1" customWidth="1" outlineLevel="1"/>
    <col min="10" max="10" width="11.28515625" style="15" bestFit="1" customWidth="1" outlineLevel="1"/>
    <col min="11" max="11" width="12.42578125" style="15" bestFit="1" customWidth="1" outlineLevel="1"/>
    <col min="12" max="12" width="13.140625" style="15" customWidth="1" outlineLevel="1"/>
    <col min="13" max="13" width="13.140625" style="15" customWidth="1"/>
    <col min="14" max="14" width="12" style="15" customWidth="1"/>
    <col min="15" max="15" width="13.28515625" style="15" customWidth="1"/>
    <col min="16" max="16" width="12.42578125" style="10" bestFit="1" customWidth="1"/>
    <col min="17" max="17" width="12.7109375" style="10" customWidth="1"/>
    <col min="18" max="18" width="12.42578125" style="10" bestFit="1" customWidth="1"/>
    <col min="19" max="19" width="11.85546875" style="10" customWidth="1"/>
    <col min="20" max="21" width="11.28515625" style="10" bestFit="1" customWidth="1"/>
    <col min="22" max="22" width="11.85546875" style="10" bestFit="1" customWidth="1"/>
    <col min="23" max="23" width="11.28515625" style="10" bestFit="1" customWidth="1"/>
    <col min="24" max="32" width="9" style="10" bestFit="1" customWidth="1"/>
    <col min="33" max="35" width="10.5703125" style="10" bestFit="1" customWidth="1"/>
    <col min="36" max="56" width="11.5703125" style="10" bestFit="1" customWidth="1"/>
    <col min="57" max="60" width="12.5703125" style="4" bestFit="1" customWidth="1"/>
    <col min="61" max="73" width="10.42578125" style="4" bestFit="1" customWidth="1"/>
  </cols>
  <sheetData>
    <row r="1" spans="1:73" x14ac:dyDescent="0.25">
      <c r="A1" s="71" t="s">
        <v>184</v>
      </c>
      <c r="B1" s="72" t="s">
        <v>0</v>
      </c>
      <c r="C1" s="72" t="s">
        <v>1</v>
      </c>
      <c r="D1" s="73" t="s">
        <v>2</v>
      </c>
      <c r="E1" s="74" t="s">
        <v>341</v>
      </c>
      <c r="F1" s="73" t="s">
        <v>1</v>
      </c>
      <c r="G1" s="73" t="s">
        <v>8</v>
      </c>
      <c r="H1" s="73" t="s">
        <v>7</v>
      </c>
      <c r="I1" s="77" t="s">
        <v>179</v>
      </c>
      <c r="J1" s="77"/>
      <c r="K1" s="77"/>
      <c r="L1" s="77"/>
      <c r="M1" s="77"/>
      <c r="N1" s="77"/>
      <c r="O1" s="77"/>
      <c r="P1" s="78"/>
      <c r="Q1" s="78"/>
      <c r="R1" s="78"/>
      <c r="S1" s="78"/>
      <c r="T1" s="78"/>
      <c r="U1" s="78"/>
      <c r="V1" s="78"/>
      <c r="W1" s="78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2"/>
      <c r="BF1" s="72"/>
      <c r="BG1" s="72"/>
      <c r="BH1" s="72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</row>
    <row r="2" spans="1:73" x14ac:dyDescent="0.25">
      <c r="A2" s="27">
        <v>43895</v>
      </c>
      <c r="B2" s="1"/>
      <c r="C2" s="1"/>
      <c r="D2" s="23"/>
      <c r="E2" s="38"/>
      <c r="F2" s="23"/>
      <c r="G2" s="23"/>
      <c r="H2" s="23"/>
      <c r="I2" s="12">
        <v>157680000</v>
      </c>
      <c r="J2" s="12">
        <v>473040000</v>
      </c>
      <c r="K2" s="12">
        <v>788400000</v>
      </c>
      <c r="L2" s="12">
        <v>1103760000</v>
      </c>
      <c r="M2" s="12">
        <v>1419120000</v>
      </c>
      <c r="N2" s="12">
        <v>1734480000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"/>
      <c r="BF2" s="1"/>
      <c r="BG2" s="1"/>
      <c r="BH2" s="1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x14ac:dyDescent="0.25">
      <c r="A3" s="27">
        <v>43895</v>
      </c>
      <c r="B3" s="5" t="s">
        <v>328</v>
      </c>
      <c r="C3" s="5" t="s">
        <v>329</v>
      </c>
      <c r="D3" s="22">
        <v>1981</v>
      </c>
      <c r="E3" s="38">
        <v>1</v>
      </c>
      <c r="F3" s="23" t="s">
        <v>22</v>
      </c>
      <c r="G3" s="22" t="s">
        <v>197</v>
      </c>
      <c r="H3" s="22" t="s">
        <v>206</v>
      </c>
      <c r="I3" s="18">
        <v>0.75324675324675316</v>
      </c>
      <c r="J3" s="18">
        <v>0.85526315789473684</v>
      </c>
      <c r="K3" s="18">
        <v>0.80519480519480513</v>
      </c>
      <c r="L3" s="18">
        <v>0.69117647058823517</v>
      </c>
      <c r="M3" s="18">
        <v>0.76623376623376616</v>
      </c>
      <c r="N3" s="18">
        <v>0.72602739726027399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"/>
      <c r="BF3" s="1"/>
      <c r="BG3" s="1"/>
      <c r="BH3" s="1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x14ac:dyDescent="0.25">
      <c r="A4" s="30">
        <v>43900</v>
      </c>
      <c r="B4" s="32"/>
      <c r="C4" s="32"/>
      <c r="D4" s="31"/>
      <c r="E4" s="44"/>
      <c r="F4" s="31"/>
      <c r="G4" s="31"/>
      <c r="H4" s="31"/>
      <c r="I4" s="33">
        <v>157680000</v>
      </c>
      <c r="J4" s="33">
        <v>473040000</v>
      </c>
      <c r="K4" s="33">
        <v>788400000</v>
      </c>
      <c r="L4" s="33">
        <v>1103760000</v>
      </c>
      <c r="M4" s="33">
        <v>1419120000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"/>
      <c r="BF4" s="1"/>
      <c r="BG4" s="1"/>
      <c r="BH4" s="1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x14ac:dyDescent="0.25">
      <c r="A5" s="30">
        <v>43900</v>
      </c>
      <c r="B5" s="48" t="s">
        <v>262</v>
      </c>
      <c r="C5" s="48" t="s">
        <v>260</v>
      </c>
      <c r="D5" s="46">
        <v>1979</v>
      </c>
      <c r="E5" s="44">
        <v>1</v>
      </c>
      <c r="F5" s="31" t="s">
        <v>32</v>
      </c>
      <c r="G5" s="46" t="s">
        <v>197</v>
      </c>
      <c r="H5" s="46" t="s">
        <v>206</v>
      </c>
      <c r="I5" s="35">
        <v>0.79661016949152541</v>
      </c>
      <c r="J5" s="35">
        <v>0.87500000000000011</v>
      </c>
      <c r="K5" s="35">
        <v>0.86363636363636354</v>
      </c>
      <c r="L5" s="35">
        <v>0.72857142857142865</v>
      </c>
      <c r="M5" s="35">
        <v>0.76829268292682928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"/>
      <c r="BF5" s="1"/>
      <c r="BG5" s="1"/>
      <c r="BH5" s="1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x14ac:dyDescent="0.25">
      <c r="A6" s="27">
        <v>43509</v>
      </c>
      <c r="B6" s="1"/>
      <c r="C6" s="1"/>
      <c r="D6" s="23"/>
      <c r="E6" s="38"/>
      <c r="F6" s="23"/>
      <c r="G6" s="23"/>
      <c r="H6" s="23"/>
      <c r="I6" s="12">
        <f>365*24*60*60*3.26/12</f>
        <v>8567280</v>
      </c>
      <c r="J6" s="12">
        <f>365*24*60*60*9.3/12</f>
        <v>24440400</v>
      </c>
      <c r="K6" s="12">
        <f>365*24*60*60*23.18/12</f>
        <v>60917040</v>
      </c>
      <c r="L6" s="12">
        <f>365*24*60*60*45.5/12</f>
        <v>119574000</v>
      </c>
      <c r="M6" s="12">
        <f>365*24*60*60*89.08/12</f>
        <v>234102240</v>
      </c>
      <c r="N6" s="12">
        <f>365*24*60*60*173.56/12</f>
        <v>456115680</v>
      </c>
      <c r="O6" s="12">
        <f>365*24*60*60*309.61/12</f>
        <v>813655080</v>
      </c>
      <c r="P6" s="12">
        <f>365*24*60*60*408.89/12</f>
        <v>1074562920</v>
      </c>
      <c r="Q6" s="12">
        <f>365*24*60*60*570.73/12</f>
        <v>1499878440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"/>
      <c r="BF6" s="1"/>
      <c r="BG6" s="1"/>
      <c r="BH6" s="1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x14ac:dyDescent="0.25">
      <c r="A7" s="27">
        <v>43509</v>
      </c>
      <c r="B7" s="1" t="s">
        <v>122</v>
      </c>
      <c r="C7" s="1" t="s">
        <v>123</v>
      </c>
      <c r="D7" s="23">
        <v>1975</v>
      </c>
      <c r="E7" s="38">
        <v>1</v>
      </c>
      <c r="F7" s="23" t="s">
        <v>143</v>
      </c>
      <c r="G7" s="23" t="s">
        <v>346</v>
      </c>
      <c r="H7" s="23" t="s">
        <v>352</v>
      </c>
      <c r="I7" s="18">
        <v>0.47</v>
      </c>
      <c r="J7" s="18">
        <v>0.39200000000000002</v>
      </c>
      <c r="K7" s="18">
        <v>0.372</v>
      </c>
      <c r="L7" s="18">
        <v>0.41599999999999998</v>
      </c>
      <c r="M7" s="18">
        <v>0.39600000000000002</v>
      </c>
      <c r="N7" s="18">
        <v>0.34499999999999997</v>
      </c>
      <c r="O7" s="18">
        <v>0.29299999999999998</v>
      </c>
      <c r="P7" s="18">
        <v>0.27800000000000002</v>
      </c>
      <c r="Q7" s="18">
        <v>0.19500000000000001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"/>
      <c r="BF7" s="1"/>
      <c r="BG7" s="1"/>
      <c r="BH7" s="1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x14ac:dyDescent="0.25">
      <c r="A8" s="27">
        <v>43509</v>
      </c>
      <c r="B8" s="1"/>
      <c r="C8" s="1"/>
      <c r="D8" s="23"/>
      <c r="E8" s="38"/>
      <c r="F8" s="23"/>
      <c r="G8" s="23"/>
      <c r="H8" s="23"/>
      <c r="I8" s="12">
        <f>365*24*60*60*3.26/12</f>
        <v>8567280</v>
      </c>
      <c r="J8" s="12">
        <f>365*24*60*60*9.3/12</f>
        <v>24440400</v>
      </c>
      <c r="K8" s="12">
        <f>365*24*60*60*23.18/12</f>
        <v>60917040</v>
      </c>
      <c r="L8" s="12">
        <f>365*24*60*60*45.5/12</f>
        <v>119574000</v>
      </c>
      <c r="M8" s="12">
        <f>365*24*60*60*89.08/12</f>
        <v>234102240</v>
      </c>
      <c r="N8" s="12">
        <f>365*24*60*60*173.56/12</f>
        <v>456115680</v>
      </c>
      <c r="O8" s="12">
        <f>365*24*60*60*309.61/12</f>
        <v>813655080</v>
      </c>
      <c r="P8" s="12">
        <f>365*24*60*60*408.89/12</f>
        <v>1074562920</v>
      </c>
      <c r="Q8" s="12">
        <f>365*24*60*60*570.73/12</f>
        <v>1499878440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"/>
      <c r="BF8" s="1"/>
      <c r="BG8" s="1"/>
      <c r="BH8" s="1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x14ac:dyDescent="0.25">
      <c r="A9" s="27">
        <v>43509</v>
      </c>
      <c r="B9" s="1" t="s">
        <v>122</v>
      </c>
      <c r="C9" s="1" t="s">
        <v>123</v>
      </c>
      <c r="D9" s="23">
        <v>1975</v>
      </c>
      <c r="E9" s="38">
        <v>1</v>
      </c>
      <c r="F9" s="23" t="s">
        <v>143</v>
      </c>
      <c r="G9" s="23" t="s">
        <v>348</v>
      </c>
      <c r="H9" s="23" t="s">
        <v>352</v>
      </c>
      <c r="I9" s="18">
        <v>0.91</v>
      </c>
      <c r="J9" s="18">
        <v>0.91</v>
      </c>
      <c r="K9" s="18">
        <v>0.79</v>
      </c>
      <c r="L9" s="18">
        <v>0.93</v>
      </c>
      <c r="M9" s="18">
        <v>0.87</v>
      </c>
      <c r="N9" s="18">
        <v>0.93</v>
      </c>
      <c r="O9" s="18">
        <v>0.78</v>
      </c>
      <c r="P9" s="18">
        <v>0.74</v>
      </c>
      <c r="Q9" s="18">
        <v>0.77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"/>
      <c r="BF9" s="1"/>
      <c r="BG9" s="1"/>
      <c r="BH9" s="1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x14ac:dyDescent="0.25">
      <c r="A10" s="27">
        <v>43509</v>
      </c>
      <c r="B10" s="1"/>
      <c r="C10" s="1"/>
      <c r="D10" s="23"/>
      <c r="E10" s="38"/>
      <c r="F10" s="23"/>
      <c r="G10" s="23"/>
      <c r="H10" s="23"/>
      <c r="I10" s="12">
        <f>365*24*60*60*3.26/12</f>
        <v>8567280</v>
      </c>
      <c r="J10" s="12">
        <f>365*24*60*60*9.3/12</f>
        <v>24440400</v>
      </c>
      <c r="K10" s="12">
        <f>365*24*60*60*23.18/12</f>
        <v>60917040</v>
      </c>
      <c r="L10" s="12">
        <f>365*24*60*60*45.5/12</f>
        <v>119574000</v>
      </c>
      <c r="M10" s="12">
        <f>365*24*60*60*89.08/12</f>
        <v>234102240</v>
      </c>
      <c r="N10" s="12">
        <f>365*24*60*60*173.56/12</f>
        <v>456115680</v>
      </c>
      <c r="O10" s="12">
        <f>365*24*60*60*309.61/12</f>
        <v>813655080</v>
      </c>
      <c r="P10" s="12">
        <f>365*24*60*60*408.89/12</f>
        <v>1074562920</v>
      </c>
      <c r="Q10" s="12">
        <f>365*24*60*60*570.73/12</f>
        <v>1499878440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"/>
      <c r="BF10" s="1"/>
      <c r="BG10" s="1"/>
      <c r="BH10" s="1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x14ac:dyDescent="0.25">
      <c r="A11" s="27">
        <v>43509</v>
      </c>
      <c r="B11" s="1" t="s">
        <v>122</v>
      </c>
      <c r="C11" s="1" t="s">
        <v>123</v>
      </c>
      <c r="D11" s="23">
        <v>1975</v>
      </c>
      <c r="E11" s="38">
        <v>1</v>
      </c>
      <c r="F11" s="23" t="s">
        <v>143</v>
      </c>
      <c r="G11" s="23" t="s">
        <v>349</v>
      </c>
      <c r="H11" s="23" t="s">
        <v>186</v>
      </c>
      <c r="I11" s="18">
        <v>0.89</v>
      </c>
      <c r="J11" s="18">
        <v>0.91</v>
      </c>
      <c r="K11" s="18">
        <v>0.78</v>
      </c>
      <c r="L11" s="18">
        <v>0.94</v>
      </c>
      <c r="M11" s="18">
        <v>0.92</v>
      </c>
      <c r="N11" s="18">
        <v>0.92</v>
      </c>
      <c r="O11" s="18">
        <v>0.93</v>
      </c>
      <c r="P11" s="18">
        <v>0.9</v>
      </c>
      <c r="Q11" s="18">
        <v>0.73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"/>
      <c r="BF11" s="1"/>
      <c r="BG11" s="1"/>
      <c r="BH11" s="1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x14ac:dyDescent="0.25">
      <c r="A12" s="27">
        <v>43509</v>
      </c>
      <c r="B12" s="1"/>
      <c r="C12" s="1"/>
      <c r="D12" s="23"/>
      <c r="E12" s="38"/>
      <c r="F12" s="23"/>
      <c r="G12" s="23"/>
      <c r="H12" s="23"/>
      <c r="I12" s="12">
        <f>365*24*60*60*3.26/12</f>
        <v>8567280</v>
      </c>
      <c r="J12" s="12">
        <f>365*24*60*60*9.3/12</f>
        <v>24440400</v>
      </c>
      <c r="K12" s="12">
        <f>365*24*60*60*23.18/12</f>
        <v>60917040</v>
      </c>
      <c r="L12" s="12">
        <f>365*24*60*60*45.5/12</f>
        <v>119574000</v>
      </c>
      <c r="M12" s="12">
        <f>365*24*60*60*89.08/12</f>
        <v>234102240</v>
      </c>
      <c r="N12" s="12">
        <f>365*24*60*60*173.56/12</f>
        <v>456115680</v>
      </c>
      <c r="O12" s="12">
        <f>365*24*60*60*309.61/12</f>
        <v>813655080</v>
      </c>
      <c r="P12" s="12">
        <f>365*24*60*60*408.89/12</f>
        <v>1074562920</v>
      </c>
      <c r="Q12" s="12">
        <f>365*24*60*60*570.73/12</f>
        <v>1499878440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"/>
      <c r="BF12" s="1"/>
      <c r="BG12" s="1"/>
      <c r="BH12" s="1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x14ac:dyDescent="0.25">
      <c r="A13" s="27">
        <v>43509</v>
      </c>
      <c r="B13" s="1" t="s">
        <v>122</v>
      </c>
      <c r="C13" s="1" t="s">
        <v>123</v>
      </c>
      <c r="D13" s="23">
        <v>1975</v>
      </c>
      <c r="E13" s="38">
        <v>1</v>
      </c>
      <c r="F13" s="23" t="s">
        <v>143</v>
      </c>
      <c r="G13" s="23" t="s">
        <v>350</v>
      </c>
      <c r="H13" s="23" t="s">
        <v>186</v>
      </c>
      <c r="I13" s="18">
        <v>0.88</v>
      </c>
      <c r="J13" s="18">
        <v>0.9</v>
      </c>
      <c r="K13" s="18">
        <v>0.82</v>
      </c>
      <c r="L13" s="18">
        <v>0.97</v>
      </c>
      <c r="M13" s="18">
        <v>0.86</v>
      </c>
      <c r="N13" s="18">
        <v>0.87</v>
      </c>
      <c r="O13" s="18">
        <v>0.87</v>
      </c>
      <c r="P13" s="18">
        <v>0.89</v>
      </c>
      <c r="Q13" s="18">
        <v>0.69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"/>
      <c r="BF13" s="1"/>
      <c r="BG13" s="1"/>
      <c r="BH13" s="1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x14ac:dyDescent="0.25">
      <c r="A14" s="27">
        <v>43509</v>
      </c>
      <c r="B14" s="1"/>
      <c r="C14" s="1"/>
      <c r="D14" s="23"/>
      <c r="E14" s="38"/>
      <c r="F14" s="23"/>
      <c r="G14" s="23"/>
      <c r="H14" s="23"/>
      <c r="I14" s="12">
        <f>365*24*60*60*3.26/12</f>
        <v>8567280</v>
      </c>
      <c r="J14" s="12">
        <f>365*24*60*60*9.3/12</f>
        <v>24440400</v>
      </c>
      <c r="K14" s="12">
        <f>365*24*60*60*23.18/12</f>
        <v>60917040</v>
      </c>
      <c r="L14" s="12">
        <f>365*24*60*60*45.5/12</f>
        <v>119574000</v>
      </c>
      <c r="M14" s="12">
        <f>365*24*60*60*89.08/12</f>
        <v>234102240</v>
      </c>
      <c r="N14" s="12">
        <f>365*24*60*60*173.56/12</f>
        <v>456115680</v>
      </c>
      <c r="O14" s="12">
        <f>365*24*60*60*309.61/12</f>
        <v>813655080</v>
      </c>
      <c r="P14" s="12">
        <f>365*24*60*60*408.89/12</f>
        <v>1074562920</v>
      </c>
      <c r="Q14" s="12">
        <f>365*24*60*60*570.73/12</f>
        <v>1499878440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"/>
      <c r="BF14" s="1"/>
      <c r="BG14" s="1"/>
      <c r="BH14" s="1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x14ac:dyDescent="0.25">
      <c r="A15" s="27">
        <v>43509</v>
      </c>
      <c r="B15" s="1" t="s">
        <v>122</v>
      </c>
      <c r="C15" s="1" t="s">
        <v>123</v>
      </c>
      <c r="D15" s="23">
        <v>1975</v>
      </c>
      <c r="E15" s="38">
        <v>1</v>
      </c>
      <c r="F15" s="23" t="s">
        <v>143</v>
      </c>
      <c r="G15" s="23" t="s">
        <v>347</v>
      </c>
      <c r="H15" s="23" t="s">
        <v>352</v>
      </c>
      <c r="I15" s="18">
        <v>0.9</v>
      </c>
      <c r="J15" s="18">
        <v>0.96</v>
      </c>
      <c r="K15" s="18">
        <v>0.9</v>
      </c>
      <c r="L15" s="18">
        <v>0.92</v>
      </c>
      <c r="M15" s="18">
        <v>0.85</v>
      </c>
      <c r="N15" s="18">
        <v>0.91</v>
      </c>
      <c r="O15" s="18">
        <v>0.79</v>
      </c>
      <c r="P15" s="18">
        <v>0.74</v>
      </c>
      <c r="Q15" s="18">
        <v>0.59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"/>
      <c r="BF15" s="1"/>
      <c r="BG15" s="1"/>
      <c r="BH15" s="1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x14ac:dyDescent="0.25">
      <c r="A16" s="27">
        <v>43509</v>
      </c>
      <c r="B16" s="1"/>
      <c r="C16" s="1"/>
      <c r="D16" s="23"/>
      <c r="E16" s="38"/>
      <c r="F16" s="23"/>
      <c r="G16" s="23"/>
      <c r="H16" s="23"/>
      <c r="I16" s="12">
        <f>365*24*60*60*3.26/12</f>
        <v>8567280</v>
      </c>
      <c r="J16" s="12">
        <f>365*24*60*60*9.3/12</f>
        <v>24440400</v>
      </c>
      <c r="K16" s="12">
        <f>365*24*60*60*23.18/12</f>
        <v>60917040</v>
      </c>
      <c r="L16" s="12">
        <f>365*24*60*60*45.5/12</f>
        <v>119574000</v>
      </c>
      <c r="M16" s="12">
        <f>365*24*60*60*89.08/12</f>
        <v>234102240</v>
      </c>
      <c r="N16" s="12">
        <f>365*24*60*60*173.56/12</f>
        <v>456115680</v>
      </c>
      <c r="O16" s="12">
        <f>365*24*60*60*309.61/12</f>
        <v>813655080</v>
      </c>
      <c r="P16" s="12">
        <f>365*24*60*60*408.89/12</f>
        <v>1074562920</v>
      </c>
      <c r="Q16" s="12">
        <f>365*24*60*60*570.73/12</f>
        <v>1499878440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"/>
      <c r="BF16" s="1"/>
      <c r="BG16" s="1"/>
      <c r="BH16" s="1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x14ac:dyDescent="0.25">
      <c r="A17" s="27">
        <v>43509</v>
      </c>
      <c r="B17" s="1" t="s">
        <v>122</v>
      </c>
      <c r="C17" s="1" t="s">
        <v>123</v>
      </c>
      <c r="D17" s="23">
        <v>1975</v>
      </c>
      <c r="E17" s="38">
        <v>1</v>
      </c>
      <c r="F17" s="23" t="s">
        <v>143</v>
      </c>
      <c r="G17" s="23" t="s">
        <v>351</v>
      </c>
      <c r="H17" s="23" t="s">
        <v>186</v>
      </c>
      <c r="I17" s="18">
        <v>0.68</v>
      </c>
      <c r="J17" s="18">
        <v>0.59</v>
      </c>
      <c r="K17" s="18">
        <v>0.36</v>
      </c>
      <c r="L17" s="18">
        <v>0.64</v>
      </c>
      <c r="M17" s="18">
        <v>0.56999999999999995</v>
      </c>
      <c r="N17" s="18">
        <v>0.41</v>
      </c>
      <c r="O17" s="18">
        <v>0.53</v>
      </c>
      <c r="P17" s="18">
        <v>0.47</v>
      </c>
      <c r="Q17" s="18">
        <v>0.18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"/>
      <c r="BF17" s="1"/>
      <c r="BG17" s="1"/>
      <c r="BH17" s="1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x14ac:dyDescent="0.25">
      <c r="A18" s="30">
        <v>43509</v>
      </c>
      <c r="B18" s="32"/>
      <c r="C18" s="32"/>
      <c r="D18" s="31"/>
      <c r="E18" s="44"/>
      <c r="F18" s="31"/>
      <c r="G18" s="31"/>
      <c r="H18" s="31"/>
      <c r="I18" s="33">
        <f>24*60*60</f>
        <v>86400</v>
      </c>
      <c r="J18" s="33">
        <f>365*24*60*60*14/12</f>
        <v>36792000</v>
      </c>
      <c r="K18" s="33">
        <f>365*24*60*60*44/12</f>
        <v>115632000</v>
      </c>
      <c r="L18" s="33">
        <f>365*24*60*60*76/12</f>
        <v>199728000</v>
      </c>
      <c r="M18" s="33">
        <f>365*24*60*60*126/12</f>
        <v>331128000</v>
      </c>
      <c r="N18" s="33">
        <f>365*24*60*60*179/12</f>
        <v>470412000</v>
      </c>
      <c r="O18" s="33">
        <f>365*24*60*60*249/12</f>
        <v>654372000</v>
      </c>
      <c r="P18" s="33">
        <f>365*24*60*60*341/12</f>
        <v>896148000</v>
      </c>
      <c r="Q18" s="33">
        <f>365*24*60*60*556/12</f>
        <v>1461168000</v>
      </c>
      <c r="R18" s="18"/>
      <c r="S18" s="18" t="s">
        <v>308</v>
      </c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"/>
      <c r="BF18" s="1"/>
      <c r="BG18" s="1"/>
      <c r="BH18" s="1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x14ac:dyDescent="0.25">
      <c r="A19" s="30">
        <v>43509</v>
      </c>
      <c r="B19" s="32" t="s">
        <v>126</v>
      </c>
      <c r="C19" s="32" t="s">
        <v>127</v>
      </c>
      <c r="D19" s="31">
        <v>1983</v>
      </c>
      <c r="E19" s="44">
        <v>1</v>
      </c>
      <c r="F19" s="31" t="s">
        <v>27</v>
      </c>
      <c r="G19" s="31" t="s">
        <v>353</v>
      </c>
      <c r="H19" s="31" t="s">
        <v>352</v>
      </c>
      <c r="I19" s="35">
        <v>0.98699999999999999</v>
      </c>
      <c r="J19" s="35">
        <v>0.64600000000000002</v>
      </c>
      <c r="K19" s="35">
        <v>0.30499999999999999</v>
      </c>
      <c r="L19" s="35">
        <v>0.23300000000000001</v>
      </c>
      <c r="M19" s="35">
        <v>0.22</v>
      </c>
      <c r="N19" s="35">
        <v>0.252</v>
      </c>
      <c r="O19" s="35">
        <v>0.26700000000000002</v>
      </c>
      <c r="P19" s="35">
        <v>0.27200000000000002</v>
      </c>
      <c r="Q19" s="35">
        <v>0.31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"/>
      <c r="BF19" s="1"/>
      <c r="BG19" s="1"/>
      <c r="BH19" s="1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x14ac:dyDescent="0.25">
      <c r="A20" s="30">
        <v>43509</v>
      </c>
      <c r="B20" s="32"/>
      <c r="C20" s="32"/>
      <c r="D20" s="31"/>
      <c r="E20" s="44"/>
      <c r="F20" s="31"/>
      <c r="G20" s="31"/>
      <c r="H20" s="31"/>
      <c r="I20" s="33">
        <f>24*60*60</f>
        <v>86400</v>
      </c>
      <c r="J20" s="33">
        <f>365*24*60*60*14/12</f>
        <v>36792000</v>
      </c>
      <c r="K20" s="33">
        <f>365*24*60*60*44/12</f>
        <v>115632000</v>
      </c>
      <c r="L20" s="33">
        <f>365*24*60*60*76/12</f>
        <v>199728000</v>
      </c>
      <c r="M20" s="33">
        <f>365*24*60*60*126/12</f>
        <v>331128000</v>
      </c>
      <c r="N20" s="33">
        <f>365*24*60*60*179/12</f>
        <v>470412000</v>
      </c>
      <c r="O20" s="33">
        <f>365*24*60*60*249/12</f>
        <v>654372000</v>
      </c>
      <c r="P20" s="33">
        <f>365*24*60*60*341/12</f>
        <v>896148000</v>
      </c>
      <c r="Q20" s="33">
        <f>365*24*60*60*556/12</f>
        <v>1461168000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"/>
      <c r="BF20" s="1"/>
      <c r="BG20" s="1"/>
      <c r="BH20" s="1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x14ac:dyDescent="0.25">
      <c r="A21" s="30">
        <v>43509</v>
      </c>
      <c r="B21" s="32" t="s">
        <v>126</v>
      </c>
      <c r="C21" s="32" t="s">
        <v>127</v>
      </c>
      <c r="D21" s="31">
        <v>1983</v>
      </c>
      <c r="E21" s="44">
        <v>1</v>
      </c>
      <c r="F21" s="31" t="s">
        <v>27</v>
      </c>
      <c r="G21" s="31" t="s">
        <v>354</v>
      </c>
      <c r="H21" s="31" t="s">
        <v>352</v>
      </c>
      <c r="I21" s="35">
        <v>0.98699999999999999</v>
      </c>
      <c r="J21" s="35">
        <v>0.70799999999999996</v>
      </c>
      <c r="K21" s="35">
        <v>0.43099999999999999</v>
      </c>
      <c r="L21" s="35">
        <v>0.35299999999999998</v>
      </c>
      <c r="M21" s="35">
        <v>0.222</v>
      </c>
      <c r="N21" s="35">
        <v>0.23799999999999999</v>
      </c>
      <c r="O21" s="35">
        <v>0.214</v>
      </c>
      <c r="P21" s="35">
        <v>0.20799999999999999</v>
      </c>
      <c r="Q21" s="35">
        <v>0.23200000000000001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"/>
      <c r="BF21" s="1"/>
      <c r="BG21" s="1"/>
      <c r="BH21" s="1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x14ac:dyDescent="0.25">
      <c r="A22" s="30">
        <v>43509</v>
      </c>
      <c r="B22" s="32"/>
      <c r="C22" s="32"/>
      <c r="D22" s="31"/>
      <c r="E22" s="44"/>
      <c r="F22" s="31"/>
      <c r="G22" s="31"/>
      <c r="H22" s="31"/>
      <c r="I22" s="33">
        <f>24*60*60</f>
        <v>86400</v>
      </c>
      <c r="J22" s="33">
        <f>365*24*60*60*14/12</f>
        <v>36792000</v>
      </c>
      <c r="K22" s="33">
        <f>365*24*60*60*44/12</f>
        <v>115632000</v>
      </c>
      <c r="L22" s="33">
        <f>365*24*60*60*76/12</f>
        <v>199728000</v>
      </c>
      <c r="M22" s="33">
        <f>365*24*60*60*126/12</f>
        <v>331128000</v>
      </c>
      <c r="N22" s="33">
        <f>365*24*60*60*179/12</f>
        <v>470412000</v>
      </c>
      <c r="O22" s="33">
        <f>365*24*60*60*249/12</f>
        <v>654372000</v>
      </c>
      <c r="P22" s="33">
        <f>365*24*60*60*341/12</f>
        <v>896148000</v>
      </c>
      <c r="Q22" s="33">
        <f>365*24*60*60*556/12</f>
        <v>1461168000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"/>
      <c r="BF22" s="1"/>
      <c r="BG22" s="1"/>
      <c r="BH22" s="1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x14ac:dyDescent="0.25">
      <c r="A23" s="30">
        <v>43509</v>
      </c>
      <c r="B23" s="32" t="s">
        <v>126</v>
      </c>
      <c r="C23" s="32" t="s">
        <v>127</v>
      </c>
      <c r="D23" s="31">
        <v>1983</v>
      </c>
      <c r="E23" s="44">
        <v>1</v>
      </c>
      <c r="F23" s="31" t="s">
        <v>27</v>
      </c>
      <c r="G23" s="31" t="s">
        <v>355</v>
      </c>
      <c r="H23" s="31" t="s">
        <v>352</v>
      </c>
      <c r="I23" s="35">
        <v>0.98499999999999999</v>
      </c>
      <c r="J23" s="35">
        <v>0.52600000000000002</v>
      </c>
      <c r="K23" s="35">
        <v>0.16700000000000001</v>
      </c>
      <c r="L23" s="35">
        <v>0.20899999999999999</v>
      </c>
      <c r="M23" s="35">
        <v>9.6000000000000002E-2</v>
      </c>
      <c r="N23" s="35">
        <v>0.13</v>
      </c>
      <c r="O23" s="35">
        <v>9.9000000000000005E-2</v>
      </c>
      <c r="P23" s="35">
        <v>0.14599999999999999</v>
      </c>
      <c r="Q23" s="35">
        <v>7.1999999999999995E-2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"/>
      <c r="BF23" s="1"/>
      <c r="BG23" s="1"/>
      <c r="BH23" s="1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x14ac:dyDescent="0.25">
      <c r="A24" s="30">
        <v>43509</v>
      </c>
      <c r="B24" s="32"/>
      <c r="C24" s="32"/>
      <c r="D24" s="31"/>
      <c r="E24" s="44"/>
      <c r="F24" s="31"/>
      <c r="G24" s="31"/>
      <c r="H24" s="31"/>
      <c r="I24" s="33">
        <f>24*60*60</f>
        <v>86400</v>
      </c>
      <c r="J24" s="33">
        <f>365*24*60*60*14/12</f>
        <v>36792000</v>
      </c>
      <c r="K24" s="33">
        <f>365*24*60*60*44/12</f>
        <v>115632000</v>
      </c>
      <c r="L24" s="33">
        <f>365*24*60*60*76/12</f>
        <v>199728000</v>
      </c>
      <c r="M24" s="33">
        <f>365*24*60*60*126/12</f>
        <v>331128000</v>
      </c>
      <c r="N24" s="33">
        <f>365*24*60*60*179/12</f>
        <v>470412000</v>
      </c>
      <c r="O24" s="33">
        <f>365*24*60*60*249/12</f>
        <v>654372000</v>
      </c>
      <c r="P24" s="33">
        <f>365*24*60*60*341/12</f>
        <v>896148000</v>
      </c>
      <c r="Q24" s="33">
        <f>365*24*60*60*556/12</f>
        <v>1461168000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"/>
      <c r="BF24" s="1"/>
      <c r="BG24" s="1"/>
      <c r="BH24" s="1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x14ac:dyDescent="0.25">
      <c r="A25" s="30">
        <v>43509</v>
      </c>
      <c r="B25" s="32" t="s">
        <v>126</v>
      </c>
      <c r="C25" s="32" t="s">
        <v>127</v>
      </c>
      <c r="D25" s="31">
        <v>1983</v>
      </c>
      <c r="E25" s="44">
        <v>1</v>
      </c>
      <c r="F25" s="31" t="s">
        <v>146</v>
      </c>
      <c r="G25" s="31" t="s">
        <v>356</v>
      </c>
      <c r="H25" s="31" t="s">
        <v>352</v>
      </c>
      <c r="I25" s="35">
        <v>0.99399999999999999</v>
      </c>
      <c r="J25" s="35">
        <v>0.874</v>
      </c>
      <c r="K25" s="35">
        <v>0.70299999999999996</v>
      </c>
      <c r="L25" s="35">
        <v>0.65600000000000003</v>
      </c>
      <c r="M25" s="35">
        <v>0.499</v>
      </c>
      <c r="N25" s="35">
        <v>0.56299999999999994</v>
      </c>
      <c r="O25" s="35">
        <v>0.49099999999999999</v>
      </c>
      <c r="P25" s="35">
        <v>0.436</v>
      </c>
      <c r="Q25" s="35">
        <v>0.376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"/>
      <c r="BF25" s="1"/>
      <c r="BG25" s="1"/>
      <c r="BH25" s="1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x14ac:dyDescent="0.25">
      <c r="A26" s="30">
        <v>43509</v>
      </c>
      <c r="B26" s="32"/>
      <c r="C26" s="32"/>
      <c r="D26" s="31"/>
      <c r="E26" s="44"/>
      <c r="F26" s="31"/>
      <c r="G26" s="31"/>
      <c r="H26" s="31"/>
      <c r="I26" s="33">
        <f>24*60*60</f>
        <v>86400</v>
      </c>
      <c r="J26" s="33">
        <f>365*24*60*60*14/12</f>
        <v>36792000</v>
      </c>
      <c r="K26" s="33">
        <f>365*24*60*60*44/12</f>
        <v>115632000</v>
      </c>
      <c r="L26" s="33">
        <f>365*24*60*60*76/12</f>
        <v>199728000</v>
      </c>
      <c r="M26" s="33">
        <f>365*24*60*60*126/12</f>
        <v>331128000</v>
      </c>
      <c r="N26" s="33">
        <f>365*24*60*60*179/12</f>
        <v>470412000</v>
      </c>
      <c r="O26" s="33">
        <f>365*24*60*60*249/12</f>
        <v>654372000</v>
      </c>
      <c r="P26" s="33">
        <f>365*24*60*60*341/12</f>
        <v>896148000</v>
      </c>
      <c r="Q26" s="33">
        <f>365*24*60*60*556/12</f>
        <v>1461168000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"/>
      <c r="BF26" s="1"/>
      <c r="BG26" s="1"/>
      <c r="BH26" s="1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x14ac:dyDescent="0.25">
      <c r="A27" s="30">
        <v>43509</v>
      </c>
      <c r="B27" s="32" t="s">
        <v>126</v>
      </c>
      <c r="C27" s="32" t="s">
        <v>127</v>
      </c>
      <c r="D27" s="31">
        <v>1983</v>
      </c>
      <c r="E27" s="44">
        <v>1</v>
      </c>
      <c r="F27" s="31" t="s">
        <v>146</v>
      </c>
      <c r="G27" s="31" t="s">
        <v>357</v>
      </c>
      <c r="H27" s="31" t="s">
        <v>352</v>
      </c>
      <c r="I27" s="35">
        <v>0.997</v>
      </c>
      <c r="J27" s="35">
        <v>0.95399999999999996</v>
      </c>
      <c r="K27" s="35">
        <v>0.89700000000000002</v>
      </c>
      <c r="L27" s="35">
        <v>0.82099999999999995</v>
      </c>
      <c r="M27" s="35">
        <v>0.73799999999999999</v>
      </c>
      <c r="N27" s="35">
        <v>0.72399999999999998</v>
      </c>
      <c r="O27" s="35">
        <v>0.66400000000000003</v>
      </c>
      <c r="P27" s="35">
        <v>0.69699999999999995</v>
      </c>
      <c r="Q27" s="35">
        <v>0.58699999999999997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"/>
      <c r="BF27" s="1"/>
      <c r="BG27" s="1"/>
      <c r="BH27" s="1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x14ac:dyDescent="0.25">
      <c r="A28" s="30">
        <v>43509</v>
      </c>
      <c r="B28" s="32"/>
      <c r="C28" s="32"/>
      <c r="D28" s="31"/>
      <c r="E28" s="44"/>
      <c r="F28" s="31"/>
      <c r="G28" s="31"/>
      <c r="H28" s="31"/>
      <c r="I28" s="33">
        <f>24*60*60</f>
        <v>86400</v>
      </c>
      <c r="J28" s="33">
        <f>365*24*60*60*14/12</f>
        <v>36792000</v>
      </c>
      <c r="K28" s="33">
        <f>365*24*60*60*44/12</f>
        <v>115632000</v>
      </c>
      <c r="L28" s="33">
        <f>365*24*60*60*76/12</f>
        <v>199728000</v>
      </c>
      <c r="M28" s="33">
        <f>365*24*60*60*126/12</f>
        <v>331128000</v>
      </c>
      <c r="N28" s="33">
        <f>365*24*60*60*179/12</f>
        <v>470412000</v>
      </c>
      <c r="O28" s="33">
        <f>365*24*60*60*249/12</f>
        <v>654372000</v>
      </c>
      <c r="P28" s="33">
        <f>365*24*60*60*341/12</f>
        <v>896148000</v>
      </c>
      <c r="Q28" s="33">
        <f>365*24*60*60*556/12</f>
        <v>1461168000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"/>
      <c r="BF28" s="1"/>
      <c r="BG28" s="1"/>
      <c r="BH28" s="1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x14ac:dyDescent="0.25">
      <c r="A29" s="30">
        <v>43509</v>
      </c>
      <c r="B29" s="32" t="s">
        <v>126</v>
      </c>
      <c r="C29" s="32" t="s">
        <v>127</v>
      </c>
      <c r="D29" s="31">
        <v>1983</v>
      </c>
      <c r="E29" s="44">
        <v>1</v>
      </c>
      <c r="F29" s="31" t="s">
        <v>146</v>
      </c>
      <c r="G29" s="31" t="s">
        <v>358</v>
      </c>
      <c r="H29" s="31" t="s">
        <v>352</v>
      </c>
      <c r="I29" s="35">
        <v>0.996</v>
      </c>
      <c r="J29" s="35">
        <v>0.83899999999999997</v>
      </c>
      <c r="K29" s="35">
        <v>0.56899999999999995</v>
      </c>
      <c r="L29" s="35">
        <v>0.51400000000000001</v>
      </c>
      <c r="M29" s="35">
        <v>0.376</v>
      </c>
      <c r="N29" s="35">
        <v>0.39700000000000002</v>
      </c>
      <c r="O29" s="35">
        <v>0.314</v>
      </c>
      <c r="P29" s="35">
        <v>0.29499999999999998</v>
      </c>
      <c r="Q29" s="35">
        <v>0.27500000000000002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"/>
      <c r="BF29" s="1"/>
      <c r="BG29" s="1"/>
      <c r="BH29" s="1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x14ac:dyDescent="0.25">
      <c r="A30" s="30">
        <v>43509</v>
      </c>
      <c r="B30" s="32"/>
      <c r="C30" s="32"/>
      <c r="D30" s="31"/>
      <c r="E30" s="44"/>
      <c r="F30" s="31"/>
      <c r="G30" s="31"/>
      <c r="H30" s="31"/>
      <c r="I30" s="33">
        <f>24*60*60</f>
        <v>86400</v>
      </c>
      <c r="J30" s="33">
        <f>365*24*60*60*14/12</f>
        <v>36792000</v>
      </c>
      <c r="K30" s="33">
        <f>365*24*60*60*44/12</f>
        <v>115632000</v>
      </c>
      <c r="L30" s="33">
        <f>365*24*60*60*76/12</f>
        <v>199728000</v>
      </c>
      <c r="M30" s="33">
        <f>365*24*60*60*126/12</f>
        <v>331128000</v>
      </c>
      <c r="N30" s="33">
        <f>365*24*60*60*179/12</f>
        <v>470412000</v>
      </c>
      <c r="O30" s="33">
        <f>365*24*60*60*249/12</f>
        <v>654372000</v>
      </c>
      <c r="P30" s="33">
        <f>365*24*60*60*341/12</f>
        <v>896148000</v>
      </c>
      <c r="Q30" s="33">
        <f>365*24*60*60*556/12</f>
        <v>1461168000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"/>
      <c r="BF30" s="1"/>
      <c r="BG30" s="1"/>
      <c r="BH30" s="1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x14ac:dyDescent="0.25">
      <c r="A31" s="30">
        <v>43509</v>
      </c>
      <c r="B31" s="32" t="s">
        <v>126</v>
      </c>
      <c r="C31" s="32" t="s">
        <v>127</v>
      </c>
      <c r="D31" s="31">
        <v>1983</v>
      </c>
      <c r="E31" s="44">
        <v>1</v>
      </c>
      <c r="F31" s="31" t="s">
        <v>146</v>
      </c>
      <c r="G31" s="31" t="s">
        <v>359</v>
      </c>
      <c r="H31" s="31" t="s">
        <v>352</v>
      </c>
      <c r="I31" s="35">
        <v>0.99399999999999999</v>
      </c>
      <c r="J31" s="35">
        <v>0.80300000000000005</v>
      </c>
      <c r="K31" s="35">
        <v>0.64900000000000002</v>
      </c>
      <c r="L31" s="35">
        <v>0.56999999999999995</v>
      </c>
      <c r="M31" s="35">
        <v>0.378</v>
      </c>
      <c r="N31" s="35">
        <v>0.35099999999999998</v>
      </c>
      <c r="O31" s="35">
        <v>0.30199999999999999</v>
      </c>
      <c r="P31" s="35">
        <v>0.34300000000000003</v>
      </c>
      <c r="Q31" s="35">
        <v>0.159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"/>
      <c r="BF31" s="1"/>
      <c r="BG31" s="1"/>
      <c r="BH31" s="1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x14ac:dyDescent="0.25">
      <c r="A32" s="30">
        <v>43509</v>
      </c>
      <c r="B32" s="32"/>
      <c r="C32" s="32"/>
      <c r="D32" s="31"/>
      <c r="E32" s="44"/>
      <c r="F32" s="31"/>
      <c r="G32" s="31"/>
      <c r="H32" s="31"/>
      <c r="I32" s="33">
        <f>24*60*60</f>
        <v>86400</v>
      </c>
      <c r="J32" s="33">
        <f>365*24*60*60*14/12</f>
        <v>36792000</v>
      </c>
      <c r="K32" s="33">
        <f>365*24*60*60*44/12</f>
        <v>115632000</v>
      </c>
      <c r="L32" s="33">
        <f>365*24*60*60*76/12</f>
        <v>199728000</v>
      </c>
      <c r="M32" s="33">
        <f>365*24*60*60*126/12</f>
        <v>331128000</v>
      </c>
      <c r="N32" s="33">
        <f>365*24*60*60*179/12</f>
        <v>470412000</v>
      </c>
      <c r="O32" s="33">
        <f>365*24*60*60*249/12</f>
        <v>654372000</v>
      </c>
      <c r="P32" s="33">
        <f>365*24*60*60*341/12</f>
        <v>896148000</v>
      </c>
      <c r="Q32" s="33">
        <f>365*24*60*60*556/12</f>
        <v>1461168000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"/>
      <c r="BF32" s="1"/>
      <c r="BG32" s="1"/>
      <c r="BH32" s="1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3" x14ac:dyDescent="0.25">
      <c r="A33" s="30">
        <v>43509</v>
      </c>
      <c r="B33" s="32" t="s">
        <v>126</v>
      </c>
      <c r="C33" s="32" t="s">
        <v>127</v>
      </c>
      <c r="D33" s="31">
        <v>1983</v>
      </c>
      <c r="E33" s="44">
        <v>1</v>
      </c>
      <c r="F33" s="31" t="s">
        <v>146</v>
      </c>
      <c r="G33" s="31" t="s">
        <v>360</v>
      </c>
      <c r="H33" s="31" t="s">
        <v>352</v>
      </c>
      <c r="I33" s="35">
        <v>0.999</v>
      </c>
      <c r="J33" s="35">
        <v>0.99</v>
      </c>
      <c r="K33" s="35">
        <v>0.76500000000000001</v>
      </c>
      <c r="L33" s="35">
        <v>0.61199999999999999</v>
      </c>
      <c r="M33" s="35">
        <v>0.53100000000000003</v>
      </c>
      <c r="N33" s="35">
        <v>0.59499999999999997</v>
      </c>
      <c r="O33" s="35">
        <v>0.41899999999999998</v>
      </c>
      <c r="P33" s="35">
        <v>0.51100000000000001</v>
      </c>
      <c r="Q33" s="35">
        <v>0.441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"/>
      <c r="BF33" s="1"/>
      <c r="BG33" s="1"/>
      <c r="BH33" s="1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3" x14ac:dyDescent="0.25">
      <c r="A34" s="30">
        <v>43509</v>
      </c>
      <c r="B34" s="32"/>
      <c r="C34" s="32"/>
      <c r="D34" s="31"/>
      <c r="E34" s="44"/>
      <c r="F34" s="31"/>
      <c r="G34" s="31"/>
      <c r="H34" s="31"/>
      <c r="I34" s="33">
        <f>24*60*60</f>
        <v>86400</v>
      </c>
      <c r="J34" s="33">
        <f>365*24*60*60*14/12</f>
        <v>36792000</v>
      </c>
      <c r="K34" s="33">
        <f>365*24*60*60*44/12</f>
        <v>115632000</v>
      </c>
      <c r="L34" s="33">
        <f>365*24*60*60*76/12</f>
        <v>199728000</v>
      </c>
      <c r="M34" s="33">
        <f>365*24*60*60*126/12</f>
        <v>331128000</v>
      </c>
      <c r="N34" s="33">
        <f>365*24*60*60*179/12</f>
        <v>470412000</v>
      </c>
      <c r="O34" s="33">
        <f>365*24*60*60*249/12</f>
        <v>654372000</v>
      </c>
      <c r="P34" s="33">
        <f>365*24*60*60*341/12</f>
        <v>896148000</v>
      </c>
      <c r="Q34" s="33">
        <f>365*24*60*60*556/12</f>
        <v>1461168000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"/>
      <c r="BF34" s="1"/>
      <c r="BG34" s="1"/>
      <c r="BH34" s="1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3" x14ac:dyDescent="0.25">
      <c r="A35" s="30">
        <v>43509</v>
      </c>
      <c r="B35" s="32" t="s">
        <v>126</v>
      </c>
      <c r="C35" s="32" t="s">
        <v>127</v>
      </c>
      <c r="D35" s="31">
        <v>1983</v>
      </c>
      <c r="E35" s="44">
        <v>1</v>
      </c>
      <c r="F35" s="31" t="s">
        <v>146</v>
      </c>
      <c r="G35" s="31" t="s">
        <v>361</v>
      </c>
      <c r="H35" s="31" t="s">
        <v>352</v>
      </c>
      <c r="I35" s="35">
        <v>0.998</v>
      </c>
      <c r="J35" s="35">
        <v>0.65800000000000003</v>
      </c>
      <c r="K35" s="35">
        <v>0.36899999999999999</v>
      </c>
      <c r="L35" s="35">
        <v>0.32500000000000001</v>
      </c>
      <c r="M35" s="35">
        <v>0.193</v>
      </c>
      <c r="N35" s="35">
        <v>0.21099999999999999</v>
      </c>
      <c r="O35" s="35">
        <v>9.2999999999999999E-2</v>
      </c>
      <c r="P35" s="35">
        <v>0.28399999999999997</v>
      </c>
      <c r="Q35" s="35">
        <v>4.0000000000000001E-3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"/>
      <c r="BF35" s="1"/>
      <c r="BG35" s="1"/>
      <c r="BH35" s="1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3" x14ac:dyDescent="0.25">
      <c r="A36" s="27">
        <v>43509</v>
      </c>
      <c r="B36" s="1"/>
      <c r="C36" s="1"/>
      <c r="D36" s="23"/>
      <c r="E36" s="38"/>
      <c r="F36" s="23"/>
      <c r="G36" s="23"/>
      <c r="H36" s="23"/>
      <c r="I36" s="12">
        <v>60</v>
      </c>
      <c r="J36" s="12">
        <f>365*24*60*60*14.5/12</f>
        <v>38106000</v>
      </c>
      <c r="K36" s="12">
        <f>365*24*60*60*37.8/12</f>
        <v>99338400</v>
      </c>
      <c r="L36" s="12">
        <f>365*24*60*60*69.1/12</f>
        <v>181594800</v>
      </c>
      <c r="M36" s="12">
        <f>365*24*60*60*114/12</f>
        <v>299592000</v>
      </c>
      <c r="N36" s="12">
        <f>365*24*60*60*175.1/12</f>
        <v>460162800</v>
      </c>
      <c r="O36" s="12">
        <f>365*24*60*60*300.6/12</f>
        <v>789976800</v>
      </c>
      <c r="P36" s="12">
        <f>365*24*60*60*415.2/12</f>
        <v>1091145600</v>
      </c>
      <c r="Q36" s="12">
        <f>365*24*60*60*596.4/12</f>
        <v>1567339200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"/>
      <c r="BF36" s="1"/>
      <c r="BG36" s="1"/>
      <c r="BH36" s="1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3" x14ac:dyDescent="0.25">
      <c r="A37" s="27">
        <v>43509</v>
      </c>
      <c r="B37" s="1" t="s">
        <v>129</v>
      </c>
      <c r="C37" s="1" t="s">
        <v>123</v>
      </c>
      <c r="D37" s="23">
        <v>1984</v>
      </c>
      <c r="E37" s="38">
        <v>1</v>
      </c>
      <c r="F37" s="23" t="s">
        <v>368</v>
      </c>
      <c r="G37" s="23" t="s">
        <v>366</v>
      </c>
      <c r="H37" s="23" t="s">
        <v>369</v>
      </c>
      <c r="I37" s="18">
        <v>1</v>
      </c>
      <c r="J37" s="18">
        <v>0.74999650676987895</v>
      </c>
      <c r="K37" s="18">
        <v>0.50296086184973499</v>
      </c>
      <c r="L37" s="18">
        <v>0.59085612083781602</v>
      </c>
      <c r="M37" s="18">
        <v>0.61036790699624099</v>
      </c>
      <c r="N37" s="18">
        <v>0.6773596769460779</v>
      </c>
      <c r="O37" s="18">
        <v>0.58110302234269906</v>
      </c>
      <c r="P37" s="18">
        <v>0.53848561487836499</v>
      </c>
      <c r="Q37" s="18">
        <v>0.54046418041834898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"/>
      <c r="BF37" s="1"/>
      <c r="BG37" s="1"/>
      <c r="BH37" s="1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3" x14ac:dyDescent="0.25">
      <c r="A38" s="27">
        <v>43509</v>
      </c>
      <c r="B38" s="1"/>
      <c r="C38" s="1"/>
      <c r="D38" s="23"/>
      <c r="E38" s="38"/>
      <c r="F38" s="23"/>
      <c r="G38" s="23"/>
      <c r="H38" s="23"/>
      <c r="I38" s="12">
        <v>60</v>
      </c>
      <c r="J38" s="12">
        <f>365*24*60*60*14.5/12</f>
        <v>38106000</v>
      </c>
      <c r="K38" s="12">
        <f>365*24*60*60*37.8/12</f>
        <v>99338400</v>
      </c>
      <c r="L38" s="12">
        <f>365*24*60*60*69.1/12</f>
        <v>181594800</v>
      </c>
      <c r="M38" s="12">
        <f>365*24*60*60*114/12</f>
        <v>299592000</v>
      </c>
      <c r="N38" s="12">
        <f>365*24*60*60*175.1/12</f>
        <v>460162800</v>
      </c>
      <c r="O38" s="12">
        <f>365*24*60*60*300.6/12</f>
        <v>789976800</v>
      </c>
      <c r="P38" s="12">
        <f>365*24*60*60*415.2/12</f>
        <v>1091145600</v>
      </c>
      <c r="Q38" s="12">
        <f>365*24*60*60*596.4/12</f>
        <v>1567339200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"/>
      <c r="BF38" s="1"/>
      <c r="BG38" s="1"/>
      <c r="BH38" s="1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3" x14ac:dyDescent="0.25">
      <c r="A39" s="27">
        <v>43509</v>
      </c>
      <c r="B39" s="1" t="s">
        <v>129</v>
      </c>
      <c r="C39" s="1" t="s">
        <v>123</v>
      </c>
      <c r="D39" s="23">
        <v>1984</v>
      </c>
      <c r="E39" s="38">
        <v>1</v>
      </c>
      <c r="F39" s="23" t="s">
        <v>368</v>
      </c>
      <c r="G39" s="23" t="s">
        <v>367</v>
      </c>
      <c r="H39" s="23" t="s">
        <v>369</v>
      </c>
      <c r="I39" s="18">
        <v>1</v>
      </c>
      <c r="J39" s="18">
        <v>0.79126133553173905</v>
      </c>
      <c r="K39" s="18">
        <v>0.61409588218033395</v>
      </c>
      <c r="L39" s="18">
        <v>0.63689409923568097</v>
      </c>
      <c r="M39" s="18">
        <v>0.59448349099445208</v>
      </c>
      <c r="N39" s="18">
        <v>0.59164419355289399</v>
      </c>
      <c r="O39" s="18">
        <v>0.50807495074545495</v>
      </c>
      <c r="P39" s="18">
        <v>0.44641524725082699</v>
      </c>
      <c r="Q39" s="18">
        <v>0.42934033842413399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"/>
      <c r="BF39" s="1"/>
      <c r="BG39" s="1"/>
      <c r="BH39" s="1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</row>
    <row r="40" spans="1:73" x14ac:dyDescent="0.25">
      <c r="A40" s="27">
        <v>43509</v>
      </c>
      <c r="B40" s="1"/>
      <c r="C40" s="1"/>
      <c r="D40" s="23"/>
      <c r="E40" s="38"/>
      <c r="F40" s="23"/>
      <c r="G40" s="23"/>
      <c r="H40" s="23"/>
      <c r="I40" s="12">
        <v>60</v>
      </c>
      <c r="J40" s="12">
        <f>365*24*60*60*14.5/12</f>
        <v>38106000</v>
      </c>
      <c r="K40" s="12">
        <f>365*24*60*60*37.8/12</f>
        <v>99338400</v>
      </c>
      <c r="L40" s="12">
        <f>365*24*60*60*69.1/12</f>
        <v>181594800</v>
      </c>
      <c r="M40" s="12">
        <f>365*24*60*60*114/12</f>
        <v>299592000</v>
      </c>
      <c r="N40" s="12">
        <f>365*24*60*60*175.1/12</f>
        <v>460162800</v>
      </c>
      <c r="O40" s="12">
        <f>365*24*60*60*300.6/12</f>
        <v>789976800</v>
      </c>
      <c r="P40" s="12">
        <f>365*24*60*60*415.2/12</f>
        <v>1091145600</v>
      </c>
      <c r="Q40" s="12">
        <f>365*24*60*60*596.4/12</f>
        <v>1567339200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"/>
      <c r="BF40" s="1"/>
      <c r="BG40" s="1"/>
      <c r="BH40" s="1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</row>
    <row r="41" spans="1:73" x14ac:dyDescent="0.25">
      <c r="A41" s="27">
        <v>43509</v>
      </c>
      <c r="B41" s="1" t="s">
        <v>129</v>
      </c>
      <c r="C41" s="1" t="s">
        <v>123</v>
      </c>
      <c r="D41" s="23">
        <v>1984</v>
      </c>
      <c r="E41" s="38">
        <v>1</v>
      </c>
      <c r="F41" s="23" t="s">
        <v>26</v>
      </c>
      <c r="G41" s="23" t="s">
        <v>362</v>
      </c>
      <c r="H41" s="23" t="s">
        <v>190</v>
      </c>
      <c r="I41" s="18">
        <v>1</v>
      </c>
      <c r="J41" s="18">
        <v>0.75226574119980105</v>
      </c>
      <c r="K41" s="18">
        <v>0.44158346363601603</v>
      </c>
      <c r="L41" s="18">
        <v>0.49771862247816601</v>
      </c>
      <c r="M41" s="18">
        <v>0.47590709736470699</v>
      </c>
      <c r="N41" s="18">
        <v>0.51390412264978402</v>
      </c>
      <c r="O41" s="18">
        <v>0.40406849471797401</v>
      </c>
      <c r="P41" s="18">
        <v>0.39398192288623596</v>
      </c>
      <c r="Q41" s="18">
        <v>0.37220395865908901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"/>
      <c r="BF41" s="1"/>
      <c r="BG41" s="1"/>
      <c r="BH41" s="1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</row>
    <row r="42" spans="1:73" x14ac:dyDescent="0.25">
      <c r="A42" s="27">
        <v>43509</v>
      </c>
      <c r="B42" s="1"/>
      <c r="C42" s="1"/>
      <c r="D42" s="23"/>
      <c r="E42" s="38"/>
      <c r="F42" s="23"/>
      <c r="G42" s="23"/>
      <c r="H42" s="23"/>
      <c r="I42" s="12">
        <v>60</v>
      </c>
      <c r="J42" s="12">
        <f>365*24*60*60*14.5/12</f>
        <v>38106000</v>
      </c>
      <c r="K42" s="12">
        <f>365*24*60*60*37.8/12</f>
        <v>99338400</v>
      </c>
      <c r="L42" s="12">
        <f>365*24*60*60*69.1/12</f>
        <v>181594800</v>
      </c>
      <c r="M42" s="12">
        <f>365*24*60*60*114/12</f>
        <v>299592000</v>
      </c>
      <c r="N42" s="12">
        <f>365*24*60*60*175.1/12</f>
        <v>460162800</v>
      </c>
      <c r="O42" s="12">
        <f>365*24*60*60*300.6/12</f>
        <v>789976800</v>
      </c>
      <c r="P42" s="12">
        <f>365*24*60*60*415.2/12</f>
        <v>1091145600</v>
      </c>
      <c r="Q42" s="12">
        <f>365*24*60*60*596.4/12</f>
        <v>1567339200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"/>
      <c r="BF42" s="1"/>
      <c r="BG42" s="1"/>
      <c r="BH42" s="1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</row>
    <row r="43" spans="1:73" x14ac:dyDescent="0.25">
      <c r="A43" s="27">
        <v>43509</v>
      </c>
      <c r="B43" s="1" t="s">
        <v>129</v>
      </c>
      <c r="C43" s="1" t="s">
        <v>123</v>
      </c>
      <c r="D43" s="23">
        <v>1984</v>
      </c>
      <c r="E43" s="38">
        <v>1</v>
      </c>
      <c r="F43" s="23" t="s">
        <v>26</v>
      </c>
      <c r="G43" s="23" t="s">
        <v>363</v>
      </c>
      <c r="H43" s="23" t="s">
        <v>190</v>
      </c>
      <c r="I43" s="18">
        <v>1</v>
      </c>
      <c r="J43" s="18">
        <v>0.85185309484764105</v>
      </c>
      <c r="K43" s="18">
        <v>0.67560962587239204</v>
      </c>
      <c r="L43" s="18">
        <v>0.74004652759238698</v>
      </c>
      <c r="M43" s="18">
        <v>0.69332977384539107</v>
      </c>
      <c r="N43" s="18">
        <v>0.77115746920407302</v>
      </c>
      <c r="O43" s="18">
        <v>0.68124175279356192</v>
      </c>
      <c r="P43" s="18">
        <v>0.68774341176919196</v>
      </c>
      <c r="Q43" s="18">
        <v>0.71244727508485495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"/>
      <c r="BF43" s="1"/>
      <c r="BG43" s="1"/>
      <c r="BH43" s="1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</row>
    <row r="44" spans="1:73" x14ac:dyDescent="0.25">
      <c r="A44" s="27">
        <v>43509</v>
      </c>
      <c r="B44" s="1"/>
      <c r="C44" s="1"/>
      <c r="D44" s="23"/>
      <c r="E44" s="38"/>
      <c r="F44" s="23"/>
      <c r="G44" s="23"/>
      <c r="H44" s="23"/>
      <c r="I44" s="12">
        <v>60</v>
      </c>
      <c r="J44" s="12">
        <f>365*24*60*60*14.5/12</f>
        <v>38106000</v>
      </c>
      <c r="K44" s="12">
        <f>365*24*60*60*37.8/12</f>
        <v>99338400</v>
      </c>
      <c r="L44" s="12">
        <f>365*24*60*60*69.1/12</f>
        <v>181594800</v>
      </c>
      <c r="M44" s="12">
        <f>365*24*60*60*114/12</f>
        <v>299592000</v>
      </c>
      <c r="N44" s="12">
        <f>365*24*60*60*175.1/12</f>
        <v>460162800</v>
      </c>
      <c r="O44" s="12">
        <f>365*24*60*60*300.6/12</f>
        <v>789976800</v>
      </c>
      <c r="P44" s="12">
        <f>365*24*60*60*415.2/12</f>
        <v>1091145600</v>
      </c>
      <c r="Q44" s="12">
        <f>365*24*60*60*596.4/12</f>
        <v>1567339200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"/>
      <c r="BF44" s="1"/>
      <c r="BG44" s="1"/>
      <c r="BH44" s="1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</row>
    <row r="45" spans="1:73" x14ac:dyDescent="0.25">
      <c r="A45" s="27">
        <v>43509</v>
      </c>
      <c r="B45" s="1" t="s">
        <v>129</v>
      </c>
      <c r="C45" s="1" t="s">
        <v>123</v>
      </c>
      <c r="D45" s="23">
        <v>1984</v>
      </c>
      <c r="E45" s="38">
        <v>1</v>
      </c>
      <c r="F45" s="23" t="s">
        <v>26</v>
      </c>
      <c r="G45" s="23" t="s">
        <v>364</v>
      </c>
      <c r="H45" s="23" t="s">
        <v>190</v>
      </c>
      <c r="I45" s="18">
        <v>1</v>
      </c>
      <c r="J45" s="18">
        <v>0.72239655238167799</v>
      </c>
      <c r="K45" s="18">
        <v>0.405072270317684</v>
      </c>
      <c r="L45" s="18">
        <v>0.39315510468708198</v>
      </c>
      <c r="M45" s="18">
        <v>0.33814881202089903</v>
      </c>
      <c r="N45" s="18">
        <v>0.42261851187978999</v>
      </c>
      <c r="O45" s="18">
        <v>0.35261965600091499</v>
      </c>
      <c r="P45" s="18">
        <v>0.34916898669005697</v>
      </c>
      <c r="Q45" s="18">
        <v>0.31246253003317898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"/>
      <c r="BF45" s="1"/>
      <c r="BG45" s="1"/>
      <c r="BH45" s="1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</row>
    <row r="46" spans="1:73" x14ac:dyDescent="0.25">
      <c r="A46" s="27">
        <v>43509</v>
      </c>
      <c r="B46" s="1"/>
      <c r="C46" s="1"/>
      <c r="D46" s="23"/>
      <c r="E46" s="38"/>
      <c r="F46" s="23"/>
      <c r="G46" s="23"/>
      <c r="H46" s="23"/>
      <c r="I46" s="12">
        <v>60</v>
      </c>
      <c r="J46" s="12">
        <f>365*24*60*60*14.5/12</f>
        <v>38106000</v>
      </c>
      <c r="K46" s="12">
        <f>365*24*60*60*37.8/12</f>
        <v>99338400</v>
      </c>
      <c r="L46" s="12">
        <f>365*24*60*60*69.1/12</f>
        <v>181594800</v>
      </c>
      <c r="M46" s="12">
        <f>365*24*60*60*114/12</f>
        <v>299592000</v>
      </c>
      <c r="N46" s="12">
        <f>365*24*60*60*175.1/12</f>
        <v>460162800</v>
      </c>
      <c r="O46" s="12">
        <f>365*24*60*60*300.6/12</f>
        <v>789976800</v>
      </c>
      <c r="P46" s="12">
        <f>365*24*60*60*415.2/12</f>
        <v>1091145600</v>
      </c>
      <c r="Q46" s="12">
        <f>365*24*60*60*596.4/12</f>
        <v>1567339200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"/>
      <c r="BF46" s="1"/>
      <c r="BG46" s="1"/>
      <c r="BH46" s="1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spans="1:73" x14ac:dyDescent="0.25">
      <c r="A47" s="27">
        <v>43509</v>
      </c>
      <c r="B47" s="1" t="s">
        <v>129</v>
      </c>
      <c r="C47" s="1" t="s">
        <v>123</v>
      </c>
      <c r="D47" s="23">
        <v>1984</v>
      </c>
      <c r="E47" s="38">
        <v>1</v>
      </c>
      <c r="F47" s="23" t="s">
        <v>26</v>
      </c>
      <c r="G47" s="23" t="s">
        <v>365</v>
      </c>
      <c r="H47" s="23" t="s">
        <v>190</v>
      </c>
      <c r="I47" s="18">
        <v>1</v>
      </c>
      <c r="J47" s="18">
        <v>0.92156210670836303</v>
      </c>
      <c r="K47" s="18">
        <v>0.69884596315929892</v>
      </c>
      <c r="L47" s="18">
        <v>0.70518897067236097</v>
      </c>
      <c r="M47" s="18">
        <v>0.75805957057320394</v>
      </c>
      <c r="N47" s="18">
        <v>0.757876511193318</v>
      </c>
      <c r="O47" s="18">
        <v>0.696176347202623</v>
      </c>
      <c r="P47" s="18">
        <v>0.67945082186034</v>
      </c>
      <c r="Q47" s="18">
        <v>0.684237824644369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"/>
      <c r="BF47" s="1"/>
      <c r="BG47" s="1"/>
      <c r="BH47" s="1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</row>
    <row r="48" spans="1:73" x14ac:dyDescent="0.25">
      <c r="A48" s="30">
        <v>43509</v>
      </c>
      <c r="B48" s="32"/>
      <c r="C48" s="32"/>
      <c r="D48" s="31"/>
      <c r="E48" s="44"/>
      <c r="F48" s="31"/>
      <c r="G48" s="31"/>
      <c r="H48" s="31"/>
      <c r="I48" s="33">
        <f>365*24*60*60*0.25</f>
        <v>7884000</v>
      </c>
      <c r="J48" s="33">
        <f>365*24*60*60*8.5</f>
        <v>268056000</v>
      </c>
      <c r="K48" s="33">
        <f>365*24*60*60*19</f>
        <v>599184000</v>
      </c>
      <c r="L48" s="33">
        <f>365*24*60*60*32.5</f>
        <v>1024920000</v>
      </c>
      <c r="M48" s="33">
        <f>365*24*60*60*47.25</f>
        <v>1490076000</v>
      </c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"/>
      <c r="BF48" s="1"/>
      <c r="BG48" s="1"/>
      <c r="BH48" s="1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</row>
    <row r="49" spans="1:73" x14ac:dyDescent="0.25">
      <c r="A49" s="30">
        <v>43509</v>
      </c>
      <c r="B49" s="32" t="s">
        <v>131</v>
      </c>
      <c r="C49" s="32" t="s">
        <v>132</v>
      </c>
      <c r="D49" s="31">
        <v>2008</v>
      </c>
      <c r="E49" s="44">
        <v>1</v>
      </c>
      <c r="F49" s="31" t="s">
        <v>26</v>
      </c>
      <c r="G49" s="31" t="s">
        <v>371</v>
      </c>
      <c r="H49" s="31" t="s">
        <v>370</v>
      </c>
      <c r="I49" s="35">
        <v>0.78100000000000003</v>
      </c>
      <c r="J49" s="35">
        <v>0.55100000000000005</v>
      </c>
      <c r="K49" s="35">
        <v>0.47099999999999997</v>
      </c>
      <c r="L49" s="35">
        <v>0.40300000000000002</v>
      </c>
      <c r="M49" s="35">
        <v>0.28100000000000003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"/>
      <c r="BF49" s="1"/>
      <c r="BG49" s="1"/>
      <c r="BH49" s="1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</row>
    <row r="50" spans="1:73" x14ac:dyDescent="0.25">
      <c r="A50" s="30">
        <v>43509</v>
      </c>
      <c r="B50" s="32"/>
      <c r="C50" s="32"/>
      <c r="D50" s="31"/>
      <c r="E50" s="44"/>
      <c r="F50" s="31"/>
      <c r="G50" s="31"/>
      <c r="H50" s="31"/>
      <c r="I50" s="33">
        <f>365*24*60*60*0.25</f>
        <v>7884000</v>
      </c>
      <c r="J50" s="33">
        <f>365*24*60*60*8.5</f>
        <v>268056000</v>
      </c>
      <c r="K50" s="33">
        <f>365*24*60*60*19</f>
        <v>599184000</v>
      </c>
      <c r="L50" s="33">
        <f>365*24*60*60*32.5</f>
        <v>1024920000</v>
      </c>
      <c r="M50" s="33">
        <f>365*24*60*60*47.25</f>
        <v>1490076000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"/>
      <c r="BF50" s="1"/>
      <c r="BG50" s="1"/>
      <c r="BH50" s="1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</row>
    <row r="51" spans="1:73" x14ac:dyDescent="0.25">
      <c r="A51" s="30">
        <v>43509</v>
      </c>
      <c r="B51" s="32" t="s">
        <v>131</v>
      </c>
      <c r="C51" s="32" t="s">
        <v>132</v>
      </c>
      <c r="D51" s="31">
        <v>2008</v>
      </c>
      <c r="E51" s="44">
        <v>1</v>
      </c>
      <c r="F51" s="31" t="s">
        <v>26</v>
      </c>
      <c r="G51" s="31" t="s">
        <v>372</v>
      </c>
      <c r="H51" s="31" t="s">
        <v>370</v>
      </c>
      <c r="I51" s="35">
        <v>0.67600000000000005</v>
      </c>
      <c r="J51" s="35">
        <v>0.54800000000000004</v>
      </c>
      <c r="K51" s="35">
        <v>0.45600000000000002</v>
      </c>
      <c r="L51" s="35">
        <v>0.40600000000000003</v>
      </c>
      <c r="M51" s="35">
        <v>0.317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"/>
      <c r="BF51" s="1"/>
      <c r="BG51" s="1"/>
      <c r="BH51" s="1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</row>
    <row r="52" spans="1:73" x14ac:dyDescent="0.25">
      <c r="A52" s="27">
        <v>44006</v>
      </c>
      <c r="B52" s="1"/>
      <c r="C52" s="1"/>
      <c r="D52" s="23"/>
      <c r="E52" s="38"/>
      <c r="F52" s="23"/>
      <c r="G52" s="23"/>
      <c r="H52" s="23"/>
      <c r="I52" s="12">
        <v>5184000</v>
      </c>
      <c r="J52" s="12">
        <v>12960000</v>
      </c>
      <c r="K52" s="12">
        <v>20736000</v>
      </c>
      <c r="L52" s="12">
        <v>28512000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"/>
      <c r="BF52" s="1"/>
      <c r="BG52" s="1"/>
      <c r="BH52" s="1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</row>
    <row r="53" spans="1:73" x14ac:dyDescent="0.25">
      <c r="A53" s="27">
        <v>44006</v>
      </c>
      <c r="B53" s="1" t="s">
        <v>523</v>
      </c>
      <c r="C53" s="1" t="s">
        <v>71</v>
      </c>
      <c r="D53" s="23">
        <v>1986</v>
      </c>
      <c r="E53" s="38">
        <v>1</v>
      </c>
      <c r="F53" s="23" t="s">
        <v>32</v>
      </c>
      <c r="G53" s="23" t="s">
        <v>524</v>
      </c>
      <c r="H53" s="23" t="s">
        <v>375</v>
      </c>
      <c r="I53" s="18">
        <v>0.77878866847975203</v>
      </c>
      <c r="J53" s="18">
        <v>0.75386057794045003</v>
      </c>
      <c r="K53" s="18">
        <v>0.7351733272723</v>
      </c>
      <c r="L53" s="18">
        <v>0.71909950545101142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"/>
      <c r="BF53" s="1"/>
      <c r="BG53" s="1"/>
      <c r="BH53" s="1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</row>
    <row r="54" spans="1:73" x14ac:dyDescent="0.25">
      <c r="A54" s="30">
        <v>43895</v>
      </c>
      <c r="B54" s="48"/>
      <c r="C54" s="48"/>
      <c r="D54" s="46"/>
      <c r="E54" s="44"/>
      <c r="F54" s="46"/>
      <c r="G54" s="31"/>
      <c r="H54" s="31"/>
      <c r="I54" s="83">
        <v>189216000</v>
      </c>
      <c r="J54" s="83">
        <v>283824000</v>
      </c>
      <c r="K54" s="83">
        <v>378432000</v>
      </c>
      <c r="L54" s="83">
        <v>473040000</v>
      </c>
      <c r="M54" s="50">
        <v>567648000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5"/>
      <c r="BF54" s="5"/>
      <c r="BG54" s="5"/>
      <c r="BH54" s="5"/>
    </row>
    <row r="55" spans="1:73" x14ac:dyDescent="0.25">
      <c r="A55" s="30">
        <v>43895</v>
      </c>
      <c r="B55" s="48" t="s">
        <v>198</v>
      </c>
      <c r="C55" s="48" t="s">
        <v>36</v>
      </c>
      <c r="D55" s="46">
        <v>1990</v>
      </c>
      <c r="E55" s="56">
        <v>1</v>
      </c>
      <c r="F55" s="46" t="s">
        <v>25</v>
      </c>
      <c r="G55" s="46" t="s">
        <v>197</v>
      </c>
      <c r="H55" s="46" t="s">
        <v>231</v>
      </c>
      <c r="I55" s="82">
        <v>0.67</v>
      </c>
      <c r="J55" s="82">
        <v>0.7</v>
      </c>
      <c r="K55" s="82">
        <v>0.65</v>
      </c>
      <c r="L55" s="82">
        <v>0.6</v>
      </c>
      <c r="M55" s="49">
        <v>0.66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5"/>
      <c r="BF55" s="5"/>
      <c r="BG55" s="5"/>
      <c r="BH55" s="5"/>
    </row>
    <row r="56" spans="1:73" x14ac:dyDescent="0.25">
      <c r="A56" s="27">
        <v>43909</v>
      </c>
      <c r="B56" s="1"/>
      <c r="C56" s="1"/>
      <c r="D56" s="23"/>
      <c r="E56" s="38"/>
      <c r="F56" s="23"/>
      <c r="G56" s="23"/>
      <c r="H56" s="23"/>
      <c r="I56" s="1">
        <f>24*60*60</f>
        <v>86400</v>
      </c>
      <c r="J56" s="1">
        <f>4*24*60*60</f>
        <v>345600</v>
      </c>
      <c r="K56" s="1">
        <f>7*24*60*60</f>
        <v>604800</v>
      </c>
      <c r="L56" s="1">
        <f>14*24*60*60</f>
        <v>1209600</v>
      </c>
      <c r="M56" s="1">
        <f>21*24*60*60</f>
        <v>1814400</v>
      </c>
      <c r="N56" s="1">
        <f>28*24*60*60</f>
        <v>2419200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"/>
      <c r="BF56" s="1"/>
      <c r="BG56" s="1"/>
      <c r="BH56" s="1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</row>
    <row r="57" spans="1:73" x14ac:dyDescent="0.25">
      <c r="A57" s="27">
        <v>43909</v>
      </c>
      <c r="B57" s="1" t="s">
        <v>306</v>
      </c>
      <c r="C57" s="1" t="s">
        <v>81</v>
      </c>
      <c r="D57" s="23">
        <v>1912</v>
      </c>
      <c r="E57" s="38">
        <v>1</v>
      </c>
      <c r="F57" s="23" t="s">
        <v>277</v>
      </c>
      <c r="G57" s="23"/>
      <c r="H57" s="23" t="s">
        <v>376</v>
      </c>
      <c r="I57" s="18">
        <f>1-0.122</f>
        <v>0.878</v>
      </c>
      <c r="J57" s="18">
        <f>1-0.122</f>
        <v>0.878</v>
      </c>
      <c r="K57" s="18">
        <f>1-0.178</f>
        <v>0.82200000000000006</v>
      </c>
      <c r="L57" s="18">
        <f>1-0.289</f>
        <v>0.71100000000000008</v>
      </c>
      <c r="M57" s="18">
        <f>1-0.244</f>
        <v>0.75600000000000001</v>
      </c>
      <c r="N57" s="18">
        <f>1-0.222</f>
        <v>0.77800000000000002</v>
      </c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"/>
      <c r="BF57" s="1"/>
      <c r="BG57" s="1"/>
      <c r="BH57" s="1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</row>
    <row r="58" spans="1:73" x14ac:dyDescent="0.25">
      <c r="A58" s="27">
        <v>43909</v>
      </c>
      <c r="B58" s="1"/>
      <c r="C58" s="1"/>
      <c r="D58" s="23"/>
      <c r="E58" s="38"/>
      <c r="F58" s="23"/>
      <c r="G58" s="23"/>
      <c r="H58" s="23"/>
      <c r="I58" s="1">
        <f>24*60*60</f>
        <v>86400</v>
      </c>
      <c r="J58" s="1">
        <f>4*24*60*60</f>
        <v>345600</v>
      </c>
      <c r="K58" s="1">
        <f>7*24*60*60</f>
        <v>604800</v>
      </c>
      <c r="L58" s="1">
        <f>14*24*60*60</f>
        <v>1209600</v>
      </c>
      <c r="M58" s="1">
        <f>21*24*60*60</f>
        <v>1814400</v>
      </c>
      <c r="N58" s="1">
        <f>28*24*60*60</f>
        <v>2419200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"/>
      <c r="BF58" s="1"/>
      <c r="BG58" s="1"/>
      <c r="BH58" s="1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</row>
    <row r="59" spans="1:73" x14ac:dyDescent="0.25">
      <c r="A59" s="27">
        <v>43909</v>
      </c>
      <c r="B59" s="1" t="s">
        <v>306</v>
      </c>
      <c r="C59" s="1" t="s">
        <v>81</v>
      </c>
      <c r="D59" s="23">
        <v>1912</v>
      </c>
      <c r="E59" s="38">
        <v>1</v>
      </c>
      <c r="F59" s="23" t="s">
        <v>278</v>
      </c>
      <c r="G59" s="23"/>
      <c r="H59" s="23" t="s">
        <v>376</v>
      </c>
      <c r="I59" s="18">
        <v>0.92</v>
      </c>
      <c r="J59" s="18">
        <v>0.9</v>
      </c>
      <c r="K59" s="18">
        <v>0.86</v>
      </c>
      <c r="L59" s="18">
        <v>0.8</v>
      </c>
      <c r="M59" s="18">
        <v>0.82</v>
      </c>
      <c r="N59" s="18">
        <v>0.79</v>
      </c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"/>
      <c r="BF59" s="1"/>
      <c r="BG59" s="1"/>
      <c r="BH59" s="1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</row>
    <row r="60" spans="1:73" x14ac:dyDescent="0.25">
      <c r="A60" s="27">
        <v>43902</v>
      </c>
      <c r="B60" s="1"/>
      <c r="C60" s="1"/>
      <c r="D60" s="23"/>
      <c r="E60" s="38"/>
      <c r="F60" s="23"/>
      <c r="G60" s="23"/>
      <c r="H60" s="23"/>
      <c r="I60" s="12">
        <v>94608000</v>
      </c>
      <c r="J60" s="12">
        <v>409968000</v>
      </c>
      <c r="K60" s="12">
        <v>725328000</v>
      </c>
      <c r="L60" s="12">
        <v>1040688000</v>
      </c>
      <c r="M60" s="12">
        <v>1356048000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"/>
      <c r="BF60" s="1"/>
      <c r="BG60" s="1"/>
      <c r="BH60" s="1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</row>
    <row r="61" spans="1:73" x14ac:dyDescent="0.25">
      <c r="A61" s="27">
        <v>43902</v>
      </c>
      <c r="B61" s="1" t="s">
        <v>279</v>
      </c>
      <c r="C61" s="1" t="s">
        <v>260</v>
      </c>
      <c r="D61" s="23">
        <v>1988</v>
      </c>
      <c r="E61" s="38">
        <v>1</v>
      </c>
      <c r="F61" s="23" t="s">
        <v>32</v>
      </c>
      <c r="G61" s="22" t="s">
        <v>197</v>
      </c>
      <c r="H61" s="23" t="s">
        <v>202</v>
      </c>
      <c r="I61" s="18">
        <v>0.57999999999999996</v>
      </c>
      <c r="J61" s="18">
        <v>0.57999999999999996</v>
      </c>
      <c r="K61" s="18">
        <v>0.56999999999999995</v>
      </c>
      <c r="L61" s="18">
        <v>0.57999999999999996</v>
      </c>
      <c r="M61" s="18">
        <v>0.48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"/>
      <c r="BF61" s="1"/>
      <c r="BG61" s="1"/>
      <c r="BH61" s="1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</row>
    <row r="62" spans="1:73" x14ac:dyDescent="0.25">
      <c r="A62" s="27">
        <v>43902</v>
      </c>
      <c r="B62" s="1"/>
      <c r="C62" s="1"/>
      <c r="D62" s="23"/>
      <c r="E62" s="38"/>
      <c r="F62" s="23"/>
      <c r="G62" s="23"/>
      <c r="H62" s="23"/>
      <c r="I62" s="12">
        <v>94608000</v>
      </c>
      <c r="J62" s="12">
        <v>409968000</v>
      </c>
      <c r="K62" s="12">
        <v>725328000</v>
      </c>
      <c r="L62" s="12">
        <v>1040688000</v>
      </c>
      <c r="M62" s="12">
        <v>1356048000</v>
      </c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"/>
      <c r="BF62" s="1"/>
      <c r="BG62" s="1"/>
      <c r="BH62" s="1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</row>
    <row r="63" spans="1:73" x14ac:dyDescent="0.25">
      <c r="A63" s="27">
        <v>43902</v>
      </c>
      <c r="B63" s="1" t="s">
        <v>279</v>
      </c>
      <c r="C63" s="1" t="s">
        <v>260</v>
      </c>
      <c r="D63" s="23">
        <v>1988</v>
      </c>
      <c r="E63" s="38">
        <v>1</v>
      </c>
      <c r="F63" s="23" t="s">
        <v>32</v>
      </c>
      <c r="G63" s="22" t="s">
        <v>197</v>
      </c>
      <c r="H63" s="23" t="s">
        <v>202</v>
      </c>
      <c r="I63" s="18">
        <v>0.9</v>
      </c>
      <c r="J63" s="18">
        <v>0.89</v>
      </c>
      <c r="K63" s="18">
        <v>0.88</v>
      </c>
      <c r="L63" s="18">
        <v>0.85</v>
      </c>
      <c r="M63" s="18">
        <v>0.79</v>
      </c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"/>
      <c r="BF63" s="1"/>
      <c r="BG63" s="1"/>
      <c r="BH63" s="1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</row>
    <row r="64" spans="1:73" x14ac:dyDescent="0.25">
      <c r="A64" s="27">
        <v>43895</v>
      </c>
      <c r="B64" s="1"/>
      <c r="C64" s="1"/>
      <c r="D64" s="23"/>
      <c r="E64" s="38"/>
      <c r="F64" s="23"/>
      <c r="G64" s="23"/>
      <c r="H64" s="23"/>
      <c r="I64" s="12">
        <v>157680000</v>
      </c>
      <c r="J64" s="12">
        <v>473040000</v>
      </c>
      <c r="K64" s="12">
        <v>788400000</v>
      </c>
      <c r="L64" s="12">
        <v>1103760000</v>
      </c>
      <c r="M64" s="12">
        <v>1419120000</v>
      </c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"/>
      <c r="BF64" s="1"/>
      <c r="BG64" s="1"/>
      <c r="BH64" s="1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</row>
    <row r="65" spans="1:73" x14ac:dyDescent="0.25">
      <c r="A65" s="27">
        <v>43895</v>
      </c>
      <c r="B65" s="1" t="s">
        <v>203</v>
      </c>
      <c r="C65" s="1" t="s">
        <v>204</v>
      </c>
      <c r="D65" s="23">
        <v>1988</v>
      </c>
      <c r="E65" s="38">
        <v>1</v>
      </c>
      <c r="F65" s="23" t="s">
        <v>32</v>
      </c>
      <c r="G65" s="22" t="s">
        <v>236</v>
      </c>
      <c r="H65" s="23" t="s">
        <v>202</v>
      </c>
      <c r="I65" s="18">
        <v>0.59375</v>
      </c>
      <c r="J65" s="18">
        <v>0.68</v>
      </c>
      <c r="K65" s="18">
        <v>0.56999999999999995</v>
      </c>
      <c r="L65" s="18">
        <v>0.59210526315789469</v>
      </c>
      <c r="M65" s="18">
        <v>0.57999999999999996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"/>
      <c r="BF65" s="1"/>
      <c r="BG65" s="1"/>
      <c r="BH65" s="1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6" spans="1:73" x14ac:dyDescent="0.25">
      <c r="A66" s="27">
        <v>43895</v>
      </c>
      <c r="B66" s="1"/>
      <c r="C66" s="1"/>
      <c r="D66" s="23"/>
      <c r="E66" s="38"/>
      <c r="F66" s="23"/>
      <c r="G66" s="23"/>
      <c r="H66" s="23"/>
      <c r="I66" s="12">
        <v>157680000</v>
      </c>
      <c r="J66" s="12">
        <v>473040000</v>
      </c>
      <c r="K66" s="12">
        <v>788400000</v>
      </c>
      <c r="L66" s="12">
        <v>1103760000</v>
      </c>
      <c r="M66" s="12">
        <v>1419120000</v>
      </c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"/>
      <c r="BF66" s="1"/>
      <c r="BG66" s="1"/>
      <c r="BH66" s="1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</row>
    <row r="67" spans="1:73" x14ac:dyDescent="0.25">
      <c r="A67" s="27">
        <v>43895</v>
      </c>
      <c r="B67" s="1" t="s">
        <v>203</v>
      </c>
      <c r="C67" s="1" t="s">
        <v>204</v>
      </c>
      <c r="D67" s="23">
        <v>1988</v>
      </c>
      <c r="E67" s="38">
        <v>1</v>
      </c>
      <c r="F67" s="23" t="s">
        <v>32</v>
      </c>
      <c r="G67" s="22" t="s">
        <v>377</v>
      </c>
      <c r="H67" s="23" t="s">
        <v>202</v>
      </c>
      <c r="I67" s="18">
        <v>0.66</v>
      </c>
      <c r="J67" s="18">
        <v>0.65</v>
      </c>
      <c r="K67" s="18">
        <v>0.59</v>
      </c>
      <c r="L67" s="18">
        <v>0.63</v>
      </c>
      <c r="M67" s="18">
        <v>0.6</v>
      </c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"/>
      <c r="BF67" s="1"/>
      <c r="BG67" s="1"/>
      <c r="BH67" s="1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</row>
    <row r="68" spans="1:73" x14ac:dyDescent="0.25">
      <c r="A68" s="27">
        <v>43895</v>
      </c>
      <c r="B68" s="1"/>
      <c r="C68" s="1"/>
      <c r="D68" s="23"/>
      <c r="E68" s="38"/>
      <c r="F68" s="23"/>
      <c r="G68" s="23"/>
      <c r="H68" s="23"/>
      <c r="I68" s="12">
        <v>157680000</v>
      </c>
      <c r="J68" s="12">
        <v>473040000</v>
      </c>
      <c r="K68" s="12">
        <v>788400000</v>
      </c>
      <c r="L68" s="12">
        <v>1103760000</v>
      </c>
      <c r="M68" s="12">
        <v>1419120000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"/>
      <c r="BF68" s="1"/>
      <c r="BG68" s="1"/>
      <c r="BH68" s="1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</row>
    <row r="69" spans="1:73" x14ac:dyDescent="0.25">
      <c r="A69" s="27">
        <v>43895</v>
      </c>
      <c r="B69" s="1" t="s">
        <v>203</v>
      </c>
      <c r="C69" s="1" t="s">
        <v>204</v>
      </c>
      <c r="D69" s="23">
        <v>1988</v>
      </c>
      <c r="E69" s="38">
        <v>1</v>
      </c>
      <c r="F69" s="23" t="s">
        <v>25</v>
      </c>
      <c r="G69" s="22" t="s">
        <v>377</v>
      </c>
      <c r="H69" s="23" t="s">
        <v>202</v>
      </c>
      <c r="I69" s="18">
        <v>0.77</v>
      </c>
      <c r="J69" s="18">
        <v>0.78</v>
      </c>
      <c r="K69" s="18">
        <v>0.72</v>
      </c>
      <c r="L69" s="18">
        <v>0.74</v>
      </c>
      <c r="M69" s="18">
        <v>0.7</v>
      </c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"/>
      <c r="BF69" s="1"/>
      <c r="BG69" s="1"/>
      <c r="BH69" s="1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</row>
    <row r="70" spans="1:73" x14ac:dyDescent="0.25">
      <c r="A70" s="30">
        <v>43509</v>
      </c>
      <c r="B70" s="32"/>
      <c r="C70" s="32"/>
      <c r="D70" s="31"/>
      <c r="E70" s="44"/>
      <c r="F70" s="31"/>
      <c r="G70" s="31"/>
      <c r="H70" s="31"/>
      <c r="I70" s="33">
        <v>0.5</v>
      </c>
      <c r="J70" s="33">
        <v>7.5</v>
      </c>
      <c r="K70" s="33">
        <v>15</v>
      </c>
      <c r="L70" s="33">
        <v>22.5</v>
      </c>
      <c r="M70" s="33">
        <v>30</v>
      </c>
      <c r="N70" s="33">
        <v>37.5</v>
      </c>
      <c r="O70" s="33">
        <v>45</v>
      </c>
      <c r="P70" s="33">
        <v>60</v>
      </c>
      <c r="Q70" s="33">
        <v>120</v>
      </c>
      <c r="R70" s="35">
        <v>240</v>
      </c>
      <c r="S70" s="35">
        <v>360</v>
      </c>
      <c r="T70" s="35">
        <v>720</v>
      </c>
      <c r="U70" s="35">
        <v>1500</v>
      </c>
      <c r="V70" s="35">
        <v>3600</v>
      </c>
      <c r="W70" s="35">
        <v>7200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"/>
      <c r="BF70" s="1"/>
      <c r="BG70" s="1"/>
      <c r="BH70" s="1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x14ac:dyDescent="0.25">
      <c r="A71" s="30">
        <v>43509</v>
      </c>
      <c r="B71" s="52" t="s">
        <v>162</v>
      </c>
      <c r="C71" s="52" t="s">
        <v>50</v>
      </c>
      <c r="D71" s="51">
        <v>1974</v>
      </c>
      <c r="E71" s="57">
        <v>1</v>
      </c>
      <c r="F71" s="51" t="s">
        <v>20</v>
      </c>
      <c r="G71" s="51" t="s">
        <v>529</v>
      </c>
      <c r="H71" s="51" t="s">
        <v>292</v>
      </c>
      <c r="I71" s="53">
        <v>0.91</v>
      </c>
      <c r="J71" s="53">
        <v>0.81499999999999995</v>
      </c>
      <c r="K71" s="53">
        <v>0.82499999999999996</v>
      </c>
      <c r="L71" s="53">
        <v>0.80500000000000005</v>
      </c>
      <c r="M71" s="53">
        <v>0.81499999999999995</v>
      </c>
      <c r="N71" s="53">
        <v>0.76</v>
      </c>
      <c r="O71" s="53">
        <v>0.78500000000000003</v>
      </c>
      <c r="P71" s="53">
        <v>0.79</v>
      </c>
      <c r="Q71" s="53">
        <v>0.78</v>
      </c>
      <c r="R71" s="53">
        <v>0.72499999999999998</v>
      </c>
      <c r="S71" s="53">
        <v>0.71</v>
      </c>
      <c r="T71" s="53">
        <v>0.65999999999999992</v>
      </c>
      <c r="U71" s="53">
        <v>0.64500000000000002</v>
      </c>
      <c r="V71" s="53">
        <v>0.63</v>
      </c>
      <c r="W71" s="53">
        <v>0.6100000000000001</v>
      </c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7"/>
      <c r="BF71" s="7"/>
      <c r="BG71" s="7"/>
      <c r="BH71" s="7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</row>
    <row r="72" spans="1:73" x14ac:dyDescent="0.25">
      <c r="A72" s="30">
        <v>43509</v>
      </c>
      <c r="B72" s="32"/>
      <c r="C72" s="32"/>
      <c r="D72" s="31"/>
      <c r="E72" s="44"/>
      <c r="F72" s="31"/>
      <c r="G72" s="31"/>
      <c r="H72" s="31"/>
      <c r="I72" s="33">
        <f>3*1</f>
        <v>3</v>
      </c>
      <c r="J72" s="33">
        <f>3*2</f>
        <v>6</v>
      </c>
      <c r="K72" s="33">
        <f>3*3</f>
        <v>9</v>
      </c>
      <c r="L72" s="33">
        <f>3*6</f>
        <v>18</v>
      </c>
      <c r="M72" s="33">
        <f>3*12</f>
        <v>36</v>
      </c>
      <c r="N72" s="33">
        <f>3*24</f>
        <v>72</v>
      </c>
      <c r="O72" s="33">
        <f>3*48</f>
        <v>144</v>
      </c>
      <c r="P72" s="33">
        <f>3*96</f>
        <v>288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"/>
      <c r="BF72" s="1"/>
      <c r="BG72" s="1"/>
      <c r="BH72" s="1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3" spans="1:73" x14ac:dyDescent="0.25">
      <c r="A73" s="30">
        <v>43509</v>
      </c>
      <c r="B73" s="32" t="s">
        <v>151</v>
      </c>
      <c r="C73" s="32" t="s">
        <v>15</v>
      </c>
      <c r="D73" s="31">
        <v>1968</v>
      </c>
      <c r="E73" s="44">
        <v>1</v>
      </c>
      <c r="F73" s="31" t="s">
        <v>32</v>
      </c>
      <c r="G73" s="31" t="s">
        <v>378</v>
      </c>
      <c r="H73" s="31" t="s">
        <v>12</v>
      </c>
      <c r="I73" s="35">
        <v>0.78582128099173498</v>
      </c>
      <c r="J73" s="35">
        <v>0.75088455578512303</v>
      </c>
      <c r="K73" s="35">
        <v>0.41378486570247902</v>
      </c>
      <c r="L73" s="35">
        <v>0.26235795454545402</v>
      </c>
      <c r="M73" s="35">
        <v>8.9527376033057798E-2</v>
      </c>
      <c r="N73" s="35">
        <v>0.14638429752066101</v>
      </c>
      <c r="O73" s="35">
        <v>5.5023243801652903E-2</v>
      </c>
      <c r="P73" s="35">
        <v>2.4993543388429601E-2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"/>
      <c r="BF73" s="1"/>
      <c r="BG73" s="1"/>
      <c r="BH73" s="1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</row>
    <row r="74" spans="1:73" x14ac:dyDescent="0.25">
      <c r="A74" s="30">
        <v>43509</v>
      </c>
      <c r="B74" s="32"/>
      <c r="C74" s="32"/>
      <c r="D74" s="31"/>
      <c r="E74" s="44"/>
      <c r="F74" s="31"/>
      <c r="G74" s="31"/>
      <c r="H74" s="31"/>
      <c r="I74" s="33">
        <f>3*1</f>
        <v>3</v>
      </c>
      <c r="J74" s="33">
        <f>3*2</f>
        <v>6</v>
      </c>
      <c r="K74" s="33">
        <f>3*3</f>
        <v>9</v>
      </c>
      <c r="L74" s="33">
        <f>3*6</f>
        <v>18</v>
      </c>
      <c r="M74" s="33">
        <f>3*12</f>
        <v>36</v>
      </c>
      <c r="N74" s="33">
        <f>3*24</f>
        <v>72</v>
      </c>
      <c r="O74" s="33">
        <f>3*48</f>
        <v>144</v>
      </c>
      <c r="P74" s="33">
        <f>3*96</f>
        <v>288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"/>
      <c r="BF74" s="1"/>
      <c r="BG74" s="1"/>
      <c r="BH74" s="1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</row>
    <row r="75" spans="1:73" x14ac:dyDescent="0.25">
      <c r="A75" s="30">
        <v>43509</v>
      </c>
      <c r="B75" s="32" t="s">
        <v>151</v>
      </c>
      <c r="C75" s="32" t="s">
        <v>15</v>
      </c>
      <c r="D75" s="31">
        <v>1968</v>
      </c>
      <c r="E75" s="44">
        <v>1</v>
      </c>
      <c r="F75" s="31" t="s">
        <v>32</v>
      </c>
      <c r="G75" s="31" t="s">
        <v>379</v>
      </c>
      <c r="H75" s="31" t="s">
        <v>12</v>
      </c>
      <c r="I75" s="35">
        <v>0.74548037190082606</v>
      </c>
      <c r="J75" s="35">
        <v>0.58124354338842898</v>
      </c>
      <c r="K75" s="35">
        <v>0.770829028925619</v>
      </c>
      <c r="L75" s="35">
        <v>0.297339876033057</v>
      </c>
      <c r="M75" s="35">
        <v>0.37447055785123901</v>
      </c>
      <c r="N75" s="35">
        <v>0.23638300619834701</v>
      </c>
      <c r="O75" s="35">
        <v>0.12762138429752001</v>
      </c>
      <c r="P75" s="35">
        <v>0.14743026859504099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"/>
      <c r="BF75" s="1"/>
      <c r="BG75" s="1"/>
      <c r="BH75" s="1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</row>
    <row r="76" spans="1:73" x14ac:dyDescent="0.25">
      <c r="A76" s="30">
        <v>43509</v>
      </c>
      <c r="B76" s="32"/>
      <c r="C76" s="32"/>
      <c r="D76" s="31"/>
      <c r="E76" s="44"/>
      <c r="F76" s="31"/>
      <c r="G76" s="31"/>
      <c r="H76" s="31"/>
      <c r="I76" s="33">
        <f>3*1</f>
        <v>3</v>
      </c>
      <c r="J76" s="33">
        <f>3*2</f>
        <v>6</v>
      </c>
      <c r="K76" s="33">
        <f>3*3</f>
        <v>9</v>
      </c>
      <c r="L76" s="33">
        <f>3*6</f>
        <v>18</v>
      </c>
      <c r="M76" s="33">
        <f>3*12</f>
        <v>36</v>
      </c>
      <c r="N76" s="33">
        <f>3*24</f>
        <v>72</v>
      </c>
      <c r="O76" s="33">
        <f>3*48</f>
        <v>144</v>
      </c>
      <c r="P76" s="33">
        <f>3*96</f>
        <v>288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"/>
      <c r="BF76" s="1"/>
      <c r="BG76" s="1"/>
      <c r="BH76" s="1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</row>
    <row r="77" spans="1:73" x14ac:dyDescent="0.25">
      <c r="A77" s="30">
        <v>43509</v>
      </c>
      <c r="B77" s="32" t="s">
        <v>151</v>
      </c>
      <c r="C77" s="32" t="s">
        <v>15</v>
      </c>
      <c r="D77" s="31">
        <v>1968</v>
      </c>
      <c r="E77" s="44">
        <v>1</v>
      </c>
      <c r="F77" s="31" t="s">
        <v>32</v>
      </c>
      <c r="G77" s="31" t="s">
        <v>380</v>
      </c>
      <c r="H77" s="31" t="s">
        <v>12</v>
      </c>
      <c r="I77" s="35">
        <v>0.76833032024793302</v>
      </c>
      <c r="J77" s="35">
        <v>0.91539256198347096</v>
      </c>
      <c r="K77" s="35">
        <v>0.56361699380165198</v>
      </c>
      <c r="L77" s="35">
        <v>0.37234633264462802</v>
      </c>
      <c r="M77" s="35">
        <v>0.34952866735537103</v>
      </c>
      <c r="N77" s="35">
        <v>0.378899793388429</v>
      </c>
      <c r="O77" s="35">
        <v>0.22516141528925601</v>
      </c>
      <c r="P77" s="35">
        <v>7.0060692148760303E-2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"/>
      <c r="BF77" s="1"/>
      <c r="BG77" s="1"/>
      <c r="BH77" s="1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</row>
    <row r="78" spans="1:73" x14ac:dyDescent="0.25">
      <c r="A78" s="30">
        <v>43509</v>
      </c>
      <c r="B78" s="32"/>
      <c r="C78" s="32"/>
      <c r="D78" s="31"/>
      <c r="E78" s="44"/>
      <c r="F78" s="31"/>
      <c r="G78" s="31"/>
      <c r="H78" s="31"/>
      <c r="I78" s="33">
        <f>3*1</f>
        <v>3</v>
      </c>
      <c r="J78" s="33">
        <f>3*2</f>
        <v>6</v>
      </c>
      <c r="K78" s="33">
        <f>3*3</f>
        <v>9</v>
      </c>
      <c r="L78" s="33">
        <f>3*6</f>
        <v>18</v>
      </c>
      <c r="M78" s="33">
        <f>3*12</f>
        <v>36</v>
      </c>
      <c r="N78" s="33">
        <f>3*24</f>
        <v>72</v>
      </c>
      <c r="O78" s="33">
        <f>3*48</f>
        <v>144</v>
      </c>
      <c r="P78" s="33">
        <f>3*96</f>
        <v>288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"/>
      <c r="BF78" s="1"/>
      <c r="BG78" s="1"/>
      <c r="BH78" s="1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</row>
    <row r="79" spans="1:73" x14ac:dyDescent="0.25">
      <c r="A79" s="30">
        <v>43509</v>
      </c>
      <c r="B79" s="32" t="s">
        <v>151</v>
      </c>
      <c r="C79" s="32" t="s">
        <v>15</v>
      </c>
      <c r="D79" s="31">
        <v>1968</v>
      </c>
      <c r="E79" s="44">
        <v>1</v>
      </c>
      <c r="F79" s="31" t="s">
        <v>32</v>
      </c>
      <c r="G79" s="31" t="s">
        <v>381</v>
      </c>
      <c r="H79" s="31" t="s">
        <v>12</v>
      </c>
      <c r="I79" s="35">
        <v>0.805449380165289</v>
      </c>
      <c r="J79" s="35">
        <v>0.74084452479338803</v>
      </c>
      <c r="K79" s="35">
        <v>0.72616864669421399</v>
      </c>
      <c r="L79" s="35">
        <v>0.46225464876033001</v>
      </c>
      <c r="M79" s="35">
        <v>0.46197055785123903</v>
      </c>
      <c r="N79" s="35">
        <v>0.28881069214875998</v>
      </c>
      <c r="O79" s="35">
        <v>0.30498450413223099</v>
      </c>
      <c r="P79" s="35">
        <v>0.22489023760330501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"/>
      <c r="BF79" s="1"/>
      <c r="BG79" s="1"/>
      <c r="BH79" s="1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</row>
    <row r="80" spans="1:73" x14ac:dyDescent="0.25">
      <c r="A80" s="30">
        <v>43509</v>
      </c>
      <c r="B80" s="32"/>
      <c r="C80" s="32"/>
      <c r="D80" s="31"/>
      <c r="E80" s="44"/>
      <c r="F80" s="31"/>
      <c r="G80" s="31"/>
      <c r="H80" s="31"/>
      <c r="I80" s="33">
        <f>3*1</f>
        <v>3</v>
      </c>
      <c r="J80" s="33">
        <f>3*2</f>
        <v>6</v>
      </c>
      <c r="K80" s="33">
        <f>3*3</f>
        <v>9</v>
      </c>
      <c r="L80" s="33">
        <f>3*6</f>
        <v>18</v>
      </c>
      <c r="M80" s="33">
        <f>3*12</f>
        <v>36</v>
      </c>
      <c r="N80" s="33">
        <f>3*24</f>
        <v>72</v>
      </c>
      <c r="O80" s="33">
        <f>3*48</f>
        <v>144</v>
      </c>
      <c r="P80" s="33">
        <f>3*96</f>
        <v>288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"/>
      <c r="BF80" s="1"/>
      <c r="BG80" s="1"/>
      <c r="BH80" s="1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</row>
    <row r="81" spans="1:73" x14ac:dyDescent="0.25">
      <c r="A81" s="30">
        <v>43509</v>
      </c>
      <c r="B81" s="32" t="s">
        <v>151</v>
      </c>
      <c r="C81" s="32" t="s">
        <v>15</v>
      </c>
      <c r="D81" s="31">
        <v>1968</v>
      </c>
      <c r="E81" s="44">
        <v>2</v>
      </c>
      <c r="F81" s="31" t="s">
        <v>32</v>
      </c>
      <c r="G81" s="31" t="s">
        <v>382</v>
      </c>
      <c r="H81" s="31" t="s">
        <v>12</v>
      </c>
      <c r="I81" s="35">
        <v>0.78</v>
      </c>
      <c r="J81" s="35">
        <v>0.51207019105031604</v>
      </c>
      <c r="K81" s="35">
        <v>0.28141640938268098</v>
      </c>
      <c r="L81" s="35">
        <v>9.4254382871126599E-2</v>
      </c>
      <c r="M81" s="35">
        <v>6.8740131418308703E-2</v>
      </c>
      <c r="N81" s="35">
        <v>4.3085888538608903E-2</v>
      </c>
      <c r="O81" s="35">
        <v>5.4255902157929997E-2</v>
      </c>
      <c r="P81" s="35">
        <v>2.41577453783836E-2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"/>
      <c r="BF81" s="1"/>
      <c r="BG81" s="1"/>
      <c r="BH81" s="1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1:73" x14ac:dyDescent="0.25">
      <c r="A82" s="30">
        <v>43509</v>
      </c>
      <c r="B82" s="32"/>
      <c r="C82" s="32"/>
      <c r="D82" s="31"/>
      <c r="E82" s="44"/>
      <c r="F82" s="31"/>
      <c r="G82" s="31"/>
      <c r="H82" s="31"/>
      <c r="I82" s="33">
        <f>3*1</f>
        <v>3</v>
      </c>
      <c r="J82" s="33">
        <f>3*2</f>
        <v>6</v>
      </c>
      <c r="K82" s="33">
        <f>3*3</f>
        <v>9</v>
      </c>
      <c r="L82" s="33">
        <f>3*6</f>
        <v>18</v>
      </c>
      <c r="M82" s="33">
        <f>3*12</f>
        <v>36</v>
      </c>
      <c r="N82" s="33">
        <f>3*24</f>
        <v>72</v>
      </c>
      <c r="O82" s="33">
        <f>3*48</f>
        <v>144</v>
      </c>
      <c r="P82" s="33">
        <f>3*96</f>
        <v>288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"/>
      <c r="BF82" s="1"/>
      <c r="BG82" s="1"/>
      <c r="BH82" s="1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1:73" x14ac:dyDescent="0.25">
      <c r="A83" s="30">
        <v>43509</v>
      </c>
      <c r="B83" s="32" t="s">
        <v>151</v>
      </c>
      <c r="C83" s="32" t="s">
        <v>15</v>
      </c>
      <c r="D83" s="31">
        <v>1968</v>
      </c>
      <c r="E83" s="44">
        <v>2</v>
      </c>
      <c r="F83" s="31" t="s">
        <v>32</v>
      </c>
      <c r="G83" s="31" t="s">
        <v>383</v>
      </c>
      <c r="H83" s="31" t="s">
        <v>12</v>
      </c>
      <c r="I83" s="35">
        <v>0.85316744168380398</v>
      </c>
      <c r="J83" s="35">
        <v>0.69786160382426199</v>
      </c>
      <c r="K83" s="35">
        <v>0.50732350499465495</v>
      </c>
      <c r="L83" s="35">
        <v>0.41549889580405502</v>
      </c>
      <c r="M83" s="35">
        <v>0.25708720163648902</v>
      </c>
      <c r="N83" s="35">
        <v>0.27661437787918403</v>
      </c>
      <c r="O83" s="35">
        <v>0.24018405074417901</v>
      </c>
      <c r="P83" s="35">
        <v>0.124560898983705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"/>
      <c r="BF83" s="1"/>
      <c r="BG83" s="1"/>
      <c r="BH83" s="1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spans="1:73" x14ac:dyDescent="0.25">
      <c r="A84" s="30">
        <v>43509</v>
      </c>
      <c r="B84" s="32"/>
      <c r="C84" s="32"/>
      <c r="D84" s="31"/>
      <c r="E84" s="44"/>
      <c r="F84" s="31"/>
      <c r="G84" s="31"/>
      <c r="H84" s="31"/>
      <c r="I84" s="33">
        <f>3*1</f>
        <v>3</v>
      </c>
      <c r="J84" s="33">
        <f>3*2</f>
        <v>6</v>
      </c>
      <c r="K84" s="33">
        <f>3*3</f>
        <v>9</v>
      </c>
      <c r="L84" s="33">
        <f>3*6</f>
        <v>18</v>
      </c>
      <c r="M84" s="33">
        <f>3*12</f>
        <v>36</v>
      </c>
      <c r="N84" s="33">
        <f>3*24</f>
        <v>72</v>
      </c>
      <c r="O84" s="33">
        <f>3*48</f>
        <v>144</v>
      </c>
      <c r="P84" s="33">
        <f>3*96</f>
        <v>288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"/>
      <c r="BF84" s="1"/>
      <c r="BG84" s="1"/>
      <c r="BH84" s="1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</row>
    <row r="85" spans="1:73" x14ac:dyDescent="0.25">
      <c r="A85" s="30">
        <v>43509</v>
      </c>
      <c r="B85" s="32" t="s">
        <v>151</v>
      </c>
      <c r="C85" s="32" t="s">
        <v>15</v>
      </c>
      <c r="D85" s="31">
        <v>1968</v>
      </c>
      <c r="E85" s="44">
        <v>2</v>
      </c>
      <c r="F85" s="31" t="s">
        <v>32</v>
      </c>
      <c r="G85" s="31" t="s">
        <v>384</v>
      </c>
      <c r="H85" s="31" t="s">
        <v>12</v>
      </c>
      <c r="I85" s="35">
        <v>0.923540806415731</v>
      </c>
      <c r="J85" s="35">
        <v>0.75559341714732198</v>
      </c>
      <c r="K85" s="35">
        <v>0.50495016196682496</v>
      </c>
      <c r="L85" s="35">
        <v>0.440690841413588</v>
      </c>
      <c r="M85" s="35">
        <v>0.29478396284258501</v>
      </c>
      <c r="N85" s="35">
        <v>0.23143295875678899</v>
      </c>
      <c r="O85" s="35">
        <v>0.124629266889856</v>
      </c>
      <c r="P85" s="35">
        <v>0.14464152970477001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"/>
      <c r="BF85" s="1"/>
      <c r="BG85" s="1"/>
      <c r="BH85" s="1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</row>
    <row r="86" spans="1:73" x14ac:dyDescent="0.25">
      <c r="A86" s="30">
        <v>43509</v>
      </c>
      <c r="B86" s="32"/>
      <c r="C86" s="32"/>
      <c r="D86" s="31"/>
      <c r="E86" s="44"/>
      <c r="F86" s="31"/>
      <c r="G86" s="31"/>
      <c r="H86" s="31"/>
      <c r="I86" s="33">
        <f>3*1</f>
        <v>3</v>
      </c>
      <c r="J86" s="33">
        <f>3*2</f>
        <v>6</v>
      </c>
      <c r="K86" s="33">
        <f>3*3</f>
        <v>9</v>
      </c>
      <c r="L86" s="33">
        <f>3*6</f>
        <v>18</v>
      </c>
      <c r="M86" s="33">
        <f>3*12</f>
        <v>36</v>
      </c>
      <c r="N86" s="33">
        <f>3*24</f>
        <v>72</v>
      </c>
      <c r="O86" s="33">
        <f>3*48</f>
        <v>144</v>
      </c>
      <c r="P86" s="33">
        <f>3*96</f>
        <v>288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"/>
      <c r="BF86" s="1"/>
      <c r="BG86" s="1"/>
      <c r="BH86" s="1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</row>
    <row r="87" spans="1:73" x14ac:dyDescent="0.25">
      <c r="A87" s="30">
        <v>43509</v>
      </c>
      <c r="B87" s="32" t="s">
        <v>151</v>
      </c>
      <c r="C87" s="32" t="s">
        <v>15</v>
      </c>
      <c r="D87" s="31">
        <v>1968</v>
      </c>
      <c r="E87" s="44">
        <v>2</v>
      </c>
      <c r="F87" s="31" t="s">
        <v>32</v>
      </c>
      <c r="G87" s="31" t="s">
        <v>385</v>
      </c>
      <c r="H87" s="31" t="s">
        <v>12</v>
      </c>
      <c r="I87" s="35">
        <v>0.88077830892526698</v>
      </c>
      <c r="J87" s="35">
        <v>0.76567931111195497</v>
      </c>
      <c r="K87" s="35">
        <v>0.46971790099676097</v>
      </c>
      <c r="L87" s="35">
        <v>0.440690841413588</v>
      </c>
      <c r="M87" s="35">
        <v>0.34758677569358098</v>
      </c>
      <c r="N87" s="35">
        <v>0.30924540280091301</v>
      </c>
      <c r="O87" s="35">
        <v>0.15224013413132001</v>
      </c>
      <c r="P87" s="35">
        <v>0.17727255462649899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"/>
      <c r="BF87" s="1"/>
      <c r="BG87" s="1"/>
      <c r="BH87" s="1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</row>
    <row r="88" spans="1:73" x14ac:dyDescent="0.25">
      <c r="A88" s="27">
        <v>43951</v>
      </c>
      <c r="B88" s="1"/>
      <c r="C88" s="1"/>
      <c r="D88" s="23"/>
      <c r="E88" s="38"/>
      <c r="F88" s="23"/>
      <c r="G88" s="23"/>
      <c r="H88" s="23"/>
      <c r="I88" s="12">
        <f>60*4</f>
        <v>240</v>
      </c>
      <c r="J88" s="12">
        <f>60*60*6</f>
        <v>21600</v>
      </c>
      <c r="K88" s="12">
        <f>60*60*24</f>
        <v>86400</v>
      </c>
      <c r="L88" s="12">
        <f>60*60*48</f>
        <v>172800</v>
      </c>
      <c r="M88" s="12">
        <f>60*60*72</f>
        <v>259200</v>
      </c>
      <c r="N88" s="12"/>
      <c r="O88" s="12"/>
      <c r="P88" s="12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"/>
      <c r="BF88" s="1"/>
      <c r="BG88" s="1"/>
      <c r="BH88" s="1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</row>
    <row r="89" spans="1:73" x14ac:dyDescent="0.25">
      <c r="A89" s="27">
        <v>43951</v>
      </c>
      <c r="B89" s="1" t="s">
        <v>478</v>
      </c>
      <c r="C89" s="1" t="s">
        <v>15</v>
      </c>
      <c r="D89" s="23">
        <v>1954</v>
      </c>
      <c r="E89" s="38">
        <v>1</v>
      </c>
      <c r="F89" s="23" t="s">
        <v>17</v>
      </c>
      <c r="G89" s="23" t="s">
        <v>481</v>
      </c>
      <c r="H89" s="23" t="s">
        <v>190</v>
      </c>
      <c r="I89" s="18">
        <v>0.68333333333333324</v>
      </c>
      <c r="J89" s="18">
        <v>0.43333333333333335</v>
      </c>
      <c r="K89" s="18">
        <v>0.39999999999999997</v>
      </c>
      <c r="L89" s="18">
        <v>0.34</v>
      </c>
      <c r="M89" s="18">
        <v>0.31666666666666665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"/>
      <c r="BF89" s="1"/>
      <c r="BG89" s="1"/>
      <c r="BH89" s="1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</row>
    <row r="90" spans="1:73" x14ac:dyDescent="0.25">
      <c r="A90" s="30">
        <v>43648</v>
      </c>
      <c r="B90" s="80"/>
      <c r="C90" s="32"/>
      <c r="D90" s="31"/>
      <c r="E90" s="44"/>
      <c r="F90" s="31"/>
      <c r="G90" s="31"/>
      <c r="H90" s="31"/>
      <c r="I90" s="32">
        <f>0.5*365*(24*(3600))</f>
        <v>15768000</v>
      </c>
      <c r="J90" s="32">
        <f>1*365*(24*(3600))</f>
        <v>31536000</v>
      </c>
      <c r="K90" s="32">
        <f>1.5*365*(24*(3600))</f>
        <v>47304000</v>
      </c>
      <c r="L90" s="32">
        <f>2*365*(24*(3600))</f>
        <v>63072000</v>
      </c>
      <c r="M90" s="32">
        <f>2.5*365*(24*(3600))</f>
        <v>78840000</v>
      </c>
      <c r="N90" s="32">
        <f>3*365*(24*(3600))</f>
        <v>94608000</v>
      </c>
      <c r="O90" s="32">
        <f>3.5*365*(24*(3600))</f>
        <v>110376000</v>
      </c>
      <c r="P90" s="32">
        <f>4*365*(24*(3600))</f>
        <v>126144000</v>
      </c>
      <c r="Q90" s="32">
        <f>4.5*365*(24*(3600))</f>
        <v>141912000</v>
      </c>
      <c r="R90" s="32">
        <f>5*365*(24*(3600))</f>
        <v>157680000</v>
      </c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"/>
      <c r="BF90" s="1"/>
      <c r="BG90" s="1"/>
      <c r="BH90" s="1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</row>
    <row r="91" spans="1:73" x14ac:dyDescent="0.25">
      <c r="A91" s="30">
        <v>43648</v>
      </c>
      <c r="B91" s="32" t="s">
        <v>191</v>
      </c>
      <c r="C91" s="32" t="s">
        <v>185</v>
      </c>
      <c r="D91" s="31">
        <v>1992</v>
      </c>
      <c r="E91" s="44">
        <v>1</v>
      </c>
      <c r="F91" s="31" t="s">
        <v>32</v>
      </c>
      <c r="G91" s="31"/>
      <c r="H91" s="31" t="s">
        <v>375</v>
      </c>
      <c r="I91" s="35">
        <v>0.97</v>
      </c>
      <c r="J91" s="35">
        <v>0.94</v>
      </c>
      <c r="K91" s="35">
        <v>0.72</v>
      </c>
      <c r="L91" s="35">
        <v>0.81</v>
      </c>
      <c r="M91" s="35">
        <v>0.82</v>
      </c>
      <c r="N91" s="35">
        <v>0.83</v>
      </c>
      <c r="O91" s="35">
        <v>0.71</v>
      </c>
      <c r="P91" s="35">
        <v>0.7</v>
      </c>
      <c r="Q91" s="35">
        <v>0.75</v>
      </c>
      <c r="R91" s="35">
        <v>0.68</v>
      </c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"/>
      <c r="BF91" s="1"/>
      <c r="BG91" s="1"/>
      <c r="BH91" s="1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</row>
    <row r="92" spans="1:73" x14ac:dyDescent="0.25">
      <c r="A92" s="27">
        <v>43509</v>
      </c>
      <c r="B92" s="1"/>
      <c r="C92" s="1"/>
      <c r="D92" s="23"/>
      <c r="E92" s="38"/>
      <c r="F92" s="23"/>
      <c r="G92" s="23"/>
      <c r="H92" s="23"/>
      <c r="I92" s="12">
        <f>(4*100)/2</f>
        <v>200</v>
      </c>
      <c r="J92" s="12">
        <f>7*24*60*60*1</f>
        <v>604800</v>
      </c>
      <c r="K92" s="12">
        <f>7*24*60*60*2</f>
        <v>1209600</v>
      </c>
      <c r="L92" s="12">
        <f>7*24*60*60*3</f>
        <v>1814400</v>
      </c>
      <c r="M92" s="12">
        <f>7*24*60*60*4</f>
        <v>2419200</v>
      </c>
      <c r="N92" s="18" t="s">
        <v>309</v>
      </c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"/>
      <c r="BF92" s="1"/>
      <c r="BG92" s="1"/>
      <c r="BH92" s="1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</row>
    <row r="93" spans="1:73" x14ac:dyDescent="0.25">
      <c r="A93" s="27">
        <v>43509</v>
      </c>
      <c r="B93" s="1" t="s">
        <v>83</v>
      </c>
      <c r="C93" s="1" t="s">
        <v>84</v>
      </c>
      <c r="D93" s="23">
        <v>1925</v>
      </c>
      <c r="E93" s="38">
        <v>1</v>
      </c>
      <c r="F93" s="23" t="s">
        <v>17</v>
      </c>
      <c r="G93" s="23" t="s">
        <v>386</v>
      </c>
      <c r="H93" s="23" t="s">
        <v>190</v>
      </c>
      <c r="I93" s="18">
        <v>0.43</v>
      </c>
      <c r="J93" s="18">
        <v>7.0000000000000007E-2</v>
      </c>
      <c r="K93" s="18">
        <v>0.02</v>
      </c>
      <c r="L93" s="18">
        <v>0.02</v>
      </c>
      <c r="M93" s="18">
        <v>0.02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"/>
      <c r="BF93" s="1"/>
      <c r="BG93" s="1"/>
      <c r="BH93" s="1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</row>
    <row r="94" spans="1:73" x14ac:dyDescent="0.25">
      <c r="A94" s="27">
        <v>43509</v>
      </c>
      <c r="B94" s="1"/>
      <c r="C94" s="1"/>
      <c r="D94" s="23"/>
      <c r="E94" s="38"/>
      <c r="F94" s="23"/>
      <c r="G94" s="23"/>
      <c r="H94" s="23"/>
      <c r="I94" s="12">
        <f>(4*100)/2</f>
        <v>200</v>
      </c>
      <c r="J94" s="12">
        <f>7*24*60*60*1</f>
        <v>604800</v>
      </c>
      <c r="K94" s="12">
        <f>7*24*60*60*2</f>
        <v>1209600</v>
      </c>
      <c r="L94" s="12">
        <f>7*24*60*60*3</f>
        <v>1814400</v>
      </c>
      <c r="M94" s="12">
        <f>7*24*60*60*4</f>
        <v>2419200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"/>
      <c r="BF94" s="1"/>
      <c r="BG94" s="1"/>
      <c r="BH94" s="1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</row>
    <row r="95" spans="1:73" x14ac:dyDescent="0.25">
      <c r="A95" s="27">
        <v>43509</v>
      </c>
      <c r="B95" s="1" t="s">
        <v>83</v>
      </c>
      <c r="C95" s="1" t="s">
        <v>84</v>
      </c>
      <c r="D95" s="23">
        <v>1925</v>
      </c>
      <c r="E95" s="38">
        <v>1</v>
      </c>
      <c r="F95" s="23" t="s">
        <v>17</v>
      </c>
      <c r="G95" s="23" t="s">
        <v>386</v>
      </c>
      <c r="H95" s="23" t="s">
        <v>190</v>
      </c>
      <c r="I95" s="18">
        <v>0.88</v>
      </c>
      <c r="J95" s="18">
        <v>0.7</v>
      </c>
      <c r="K95" s="18">
        <v>0.6</v>
      </c>
      <c r="L95" s="18">
        <v>0.51</v>
      </c>
      <c r="M95" s="18">
        <v>0.51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"/>
      <c r="BF95" s="1"/>
      <c r="BG95" s="1"/>
      <c r="BH95" s="1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</row>
    <row r="96" spans="1:73" x14ac:dyDescent="0.25">
      <c r="A96" s="27">
        <v>43509</v>
      </c>
      <c r="B96" s="1"/>
      <c r="C96" s="1"/>
      <c r="D96" s="23"/>
      <c r="E96" s="38"/>
      <c r="F96" s="23"/>
      <c r="G96" s="23"/>
      <c r="H96" s="23"/>
      <c r="I96" s="12">
        <f>5*60</f>
        <v>300</v>
      </c>
      <c r="J96" s="12">
        <f>24*60*60*1</f>
        <v>86400</v>
      </c>
      <c r="K96" s="12">
        <f>24*60*60*2</f>
        <v>172800</v>
      </c>
      <c r="L96" s="12">
        <f>24*60*60*7</f>
        <v>604800</v>
      </c>
      <c r="M96" s="12">
        <f>24*60*60*14</f>
        <v>1209600</v>
      </c>
      <c r="N96" s="12">
        <f>24*60*60*42</f>
        <v>3628800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"/>
      <c r="BF96" s="1"/>
      <c r="BG96" s="1"/>
      <c r="BH96" s="1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</row>
    <row r="97" spans="1:73" x14ac:dyDescent="0.25">
      <c r="A97" s="27">
        <v>43509</v>
      </c>
      <c r="B97" s="1" t="s">
        <v>85</v>
      </c>
      <c r="C97" s="1" t="s">
        <v>50</v>
      </c>
      <c r="D97" s="23">
        <v>2008</v>
      </c>
      <c r="E97" s="38">
        <v>1</v>
      </c>
      <c r="F97" s="23" t="s">
        <v>17</v>
      </c>
      <c r="G97" s="23" t="s">
        <v>388</v>
      </c>
      <c r="H97" s="23" t="s">
        <v>292</v>
      </c>
      <c r="I97" s="18">
        <v>0.93</v>
      </c>
      <c r="J97" s="18">
        <v>0.88</v>
      </c>
      <c r="K97" s="18">
        <v>0.86</v>
      </c>
      <c r="L97" s="18">
        <v>0.66</v>
      </c>
      <c r="M97" s="18">
        <v>0.47</v>
      </c>
      <c r="N97" s="18">
        <v>0.34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"/>
      <c r="BF97" s="1"/>
      <c r="BG97" s="1"/>
      <c r="BH97" s="1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</row>
    <row r="98" spans="1:73" x14ac:dyDescent="0.25">
      <c r="A98" s="27">
        <v>43509</v>
      </c>
      <c r="B98" s="1"/>
      <c r="C98" s="1"/>
      <c r="D98" s="23"/>
      <c r="E98" s="38"/>
      <c r="F98" s="23"/>
      <c r="G98" s="23"/>
      <c r="H98" s="23"/>
      <c r="I98" s="12">
        <f>5*60</f>
        <v>300</v>
      </c>
      <c r="J98" s="12">
        <f>24*60*60*1</f>
        <v>86400</v>
      </c>
      <c r="K98" s="12">
        <f>24*60*60*2</f>
        <v>172800</v>
      </c>
      <c r="L98" s="12">
        <f>24*60*60*7</f>
        <v>604800</v>
      </c>
      <c r="M98" s="12">
        <f>24*60*60*14</f>
        <v>1209600</v>
      </c>
      <c r="N98" s="12">
        <f>24*60*60*42</f>
        <v>3628800</v>
      </c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"/>
      <c r="BF98" s="1"/>
      <c r="BG98" s="1"/>
      <c r="BH98" s="1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</row>
    <row r="99" spans="1:73" x14ac:dyDescent="0.25">
      <c r="A99" s="27">
        <v>43509</v>
      </c>
      <c r="B99" s="1" t="s">
        <v>85</v>
      </c>
      <c r="C99" s="1" t="s">
        <v>50</v>
      </c>
      <c r="D99" s="23">
        <v>2008</v>
      </c>
      <c r="E99" s="38">
        <v>1</v>
      </c>
      <c r="F99" s="23" t="s">
        <v>17</v>
      </c>
      <c r="G99" s="23" t="s">
        <v>389</v>
      </c>
      <c r="H99" s="23" t="s">
        <v>292</v>
      </c>
      <c r="I99" s="18">
        <v>0.91</v>
      </c>
      <c r="J99" s="18">
        <v>0.82</v>
      </c>
      <c r="K99" s="18">
        <v>0.78</v>
      </c>
      <c r="L99" s="18">
        <v>0.6</v>
      </c>
      <c r="M99" s="18">
        <v>0.42</v>
      </c>
      <c r="N99" s="18">
        <v>0.3</v>
      </c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"/>
      <c r="BF99" s="1"/>
      <c r="BG99" s="1"/>
      <c r="BH99" s="1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</row>
    <row r="100" spans="1:73" x14ac:dyDescent="0.25">
      <c r="A100" s="27">
        <v>43509</v>
      </c>
      <c r="B100" s="1"/>
      <c r="C100" s="1"/>
      <c r="D100" s="23"/>
      <c r="E100" s="38"/>
      <c r="F100" s="23"/>
      <c r="G100" s="23"/>
      <c r="H100" s="23"/>
      <c r="I100" s="12">
        <f>5*60</f>
        <v>300</v>
      </c>
      <c r="J100" s="12">
        <f>24*60*60*1</f>
        <v>86400</v>
      </c>
      <c r="K100" s="12">
        <f>24*60*60*2</f>
        <v>172800</v>
      </c>
      <c r="L100" s="12">
        <f>24*60*60*7</f>
        <v>604800</v>
      </c>
      <c r="M100" s="12">
        <f>24*60*60*14</f>
        <v>1209600</v>
      </c>
      <c r="N100" s="12">
        <f>24*60*60*42</f>
        <v>3628800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"/>
      <c r="BF100" s="1"/>
      <c r="BG100" s="1"/>
      <c r="BH100" s="1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</row>
    <row r="101" spans="1:73" x14ac:dyDescent="0.25">
      <c r="A101" s="27">
        <v>43509</v>
      </c>
      <c r="B101" s="1" t="s">
        <v>85</v>
      </c>
      <c r="C101" s="1" t="s">
        <v>50</v>
      </c>
      <c r="D101" s="23">
        <v>2008</v>
      </c>
      <c r="E101" s="38">
        <v>2</v>
      </c>
      <c r="F101" s="23" t="s">
        <v>17</v>
      </c>
      <c r="G101" s="23" t="s">
        <v>388</v>
      </c>
      <c r="H101" s="23" t="s">
        <v>292</v>
      </c>
      <c r="I101" s="18">
        <v>0.96</v>
      </c>
      <c r="J101" s="18">
        <v>0.93</v>
      </c>
      <c r="K101" s="18">
        <v>0.89</v>
      </c>
      <c r="L101" s="18">
        <v>0.84</v>
      </c>
      <c r="M101" s="18">
        <v>0.68</v>
      </c>
      <c r="N101" s="18">
        <v>0.39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"/>
      <c r="BF101" s="1"/>
      <c r="BG101" s="1"/>
      <c r="BH101" s="1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</row>
    <row r="102" spans="1:73" x14ac:dyDescent="0.25">
      <c r="A102" s="27">
        <v>43509</v>
      </c>
      <c r="B102" s="1"/>
      <c r="C102" s="1"/>
      <c r="D102" s="23"/>
      <c r="E102" s="38"/>
      <c r="F102" s="23"/>
      <c r="G102" s="23"/>
      <c r="H102" s="23"/>
      <c r="I102" s="12">
        <f>5*60</f>
        <v>300</v>
      </c>
      <c r="J102" s="12">
        <f>24*60*60*1</f>
        <v>86400</v>
      </c>
      <c r="K102" s="12">
        <f>24*60*60*2</f>
        <v>172800</v>
      </c>
      <c r="L102" s="12">
        <f>24*60*60*7</f>
        <v>604800</v>
      </c>
      <c r="M102" s="12">
        <f>24*60*60*14</f>
        <v>1209600</v>
      </c>
      <c r="N102" s="12">
        <f>24*60*60*42</f>
        <v>3628800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"/>
      <c r="BF102" s="1"/>
      <c r="BG102" s="1"/>
      <c r="BH102" s="1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</row>
    <row r="103" spans="1:73" x14ac:dyDescent="0.25">
      <c r="A103" s="27">
        <v>43509</v>
      </c>
      <c r="B103" s="1" t="s">
        <v>85</v>
      </c>
      <c r="C103" s="1" t="s">
        <v>50</v>
      </c>
      <c r="D103" s="23">
        <v>2008</v>
      </c>
      <c r="E103" s="38">
        <v>2</v>
      </c>
      <c r="F103" s="23" t="s">
        <v>17</v>
      </c>
      <c r="G103" s="23" t="s">
        <v>389</v>
      </c>
      <c r="H103" s="23" t="s">
        <v>292</v>
      </c>
      <c r="I103" s="18">
        <v>0.93</v>
      </c>
      <c r="J103" s="18">
        <v>0.87</v>
      </c>
      <c r="K103" s="18">
        <v>0.84</v>
      </c>
      <c r="L103" s="18">
        <v>0.7</v>
      </c>
      <c r="M103" s="18">
        <v>0.52</v>
      </c>
      <c r="N103" s="18">
        <v>0.36</v>
      </c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"/>
      <c r="BF103" s="1"/>
      <c r="BG103" s="1"/>
      <c r="BH103" s="1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</row>
    <row r="104" spans="1:73" x14ac:dyDescent="0.25">
      <c r="A104" s="27">
        <v>43509</v>
      </c>
      <c r="B104" s="1"/>
      <c r="C104" s="1"/>
      <c r="D104" s="23"/>
      <c r="E104" s="38"/>
      <c r="F104" s="23"/>
      <c r="G104" s="23"/>
      <c r="H104" s="23"/>
      <c r="I104" s="12">
        <f>5*60</f>
        <v>300</v>
      </c>
      <c r="J104" s="12">
        <f>24*60*60*1</f>
        <v>86400</v>
      </c>
      <c r="K104" s="12">
        <f>24*60*60*2</f>
        <v>172800</v>
      </c>
      <c r="L104" s="12">
        <f>24*60*60*7</f>
        <v>604800</v>
      </c>
      <c r="M104" s="12">
        <f>24*60*60*14</f>
        <v>1209600</v>
      </c>
      <c r="N104" s="12">
        <f>24*60*60*42</f>
        <v>3628800</v>
      </c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"/>
      <c r="BF104" s="1"/>
      <c r="BG104" s="1"/>
      <c r="BH104" s="1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</row>
    <row r="105" spans="1:73" x14ac:dyDescent="0.25">
      <c r="A105" s="27">
        <v>43509</v>
      </c>
      <c r="B105" s="1" t="s">
        <v>85</v>
      </c>
      <c r="C105" s="1" t="s">
        <v>50</v>
      </c>
      <c r="D105" s="23">
        <v>2008</v>
      </c>
      <c r="E105" s="38">
        <v>3</v>
      </c>
      <c r="F105" s="23" t="s">
        <v>17</v>
      </c>
      <c r="G105" s="23" t="s">
        <v>388</v>
      </c>
      <c r="H105" s="23" t="s">
        <v>303</v>
      </c>
      <c r="I105" s="18">
        <v>0.59</v>
      </c>
      <c r="J105" s="18">
        <v>0.43</v>
      </c>
      <c r="K105" s="18">
        <v>0.41</v>
      </c>
      <c r="L105" s="18">
        <v>0.3</v>
      </c>
      <c r="M105" s="18">
        <v>0.25</v>
      </c>
      <c r="N105" s="18">
        <v>0.19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"/>
      <c r="BF105" s="1"/>
      <c r="BG105" s="1"/>
      <c r="BH105" s="1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</row>
    <row r="106" spans="1:73" x14ac:dyDescent="0.25">
      <c r="A106" s="27">
        <v>43509</v>
      </c>
      <c r="B106" s="1"/>
      <c r="C106" s="1"/>
      <c r="D106" s="23"/>
      <c r="E106" s="38"/>
      <c r="F106" s="23"/>
      <c r="G106" s="23"/>
      <c r="H106" s="23"/>
      <c r="I106" s="12">
        <f>5*60</f>
        <v>300</v>
      </c>
      <c r="J106" s="12">
        <f>24*60*60*1</f>
        <v>86400</v>
      </c>
      <c r="K106" s="12">
        <f>24*60*60*2</f>
        <v>172800</v>
      </c>
      <c r="L106" s="12">
        <f>24*60*60*7</f>
        <v>604800</v>
      </c>
      <c r="M106" s="12">
        <f>24*60*60*14</f>
        <v>1209600</v>
      </c>
      <c r="N106" s="12">
        <f>24*60*60*42</f>
        <v>3628800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"/>
      <c r="BF106" s="1"/>
      <c r="BG106" s="1"/>
      <c r="BH106" s="1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</row>
    <row r="107" spans="1:73" x14ac:dyDescent="0.25">
      <c r="A107" s="27">
        <v>43509</v>
      </c>
      <c r="B107" s="1" t="s">
        <v>85</v>
      </c>
      <c r="C107" s="1" t="s">
        <v>50</v>
      </c>
      <c r="D107" s="23">
        <v>2008</v>
      </c>
      <c r="E107" s="38">
        <v>3</v>
      </c>
      <c r="F107" s="23" t="s">
        <v>17</v>
      </c>
      <c r="G107" s="23" t="s">
        <v>389</v>
      </c>
      <c r="H107" s="23" t="s">
        <v>303</v>
      </c>
      <c r="I107" s="18">
        <v>0.51</v>
      </c>
      <c r="J107" s="18">
        <v>0.36</v>
      </c>
      <c r="K107" s="18">
        <v>0.3</v>
      </c>
      <c r="L107" s="18">
        <v>0.21</v>
      </c>
      <c r="M107" s="18">
        <v>0.2</v>
      </c>
      <c r="N107" s="18">
        <v>0.16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"/>
      <c r="BF107" s="1"/>
      <c r="BG107" s="1"/>
      <c r="BH107" s="1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</row>
    <row r="108" spans="1:73" x14ac:dyDescent="0.25">
      <c r="A108" s="30">
        <v>43648</v>
      </c>
      <c r="B108" s="32"/>
      <c r="C108" s="32"/>
      <c r="D108" s="31"/>
      <c r="E108" s="44"/>
      <c r="F108" s="31"/>
      <c r="G108" s="31"/>
      <c r="H108" s="31"/>
      <c r="I108" s="33">
        <f>1*365*24*3600</f>
        <v>31536000</v>
      </c>
      <c r="J108" s="33">
        <f>3*365*24*3600</f>
        <v>94608000</v>
      </c>
      <c r="K108" s="33">
        <f>5*365*24*3600</f>
        <v>157680000</v>
      </c>
      <c r="L108" s="33">
        <f>7*365*24*3600</f>
        <v>220752000</v>
      </c>
      <c r="M108" s="33">
        <f>9*365*24*3600</f>
        <v>283824000</v>
      </c>
      <c r="N108" s="33">
        <f>11*365*24*3600</f>
        <v>346896000</v>
      </c>
      <c r="O108" s="33">
        <f>13*365*24*3600</f>
        <v>409968000</v>
      </c>
      <c r="P108" s="33">
        <f>15*365*24*3600</f>
        <v>473040000</v>
      </c>
      <c r="Q108" s="33">
        <f>17*365*24*3600</f>
        <v>536112000</v>
      </c>
      <c r="R108" s="33">
        <f>19*365*24*3600</f>
        <v>599184000</v>
      </c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"/>
      <c r="BF108" s="1"/>
      <c r="BG108" s="1"/>
      <c r="BH108" s="1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</row>
    <row r="109" spans="1:73" x14ac:dyDescent="0.25">
      <c r="A109" s="30">
        <v>43648</v>
      </c>
      <c r="B109" s="32" t="s">
        <v>192</v>
      </c>
      <c r="C109" s="32" t="s">
        <v>50</v>
      </c>
      <c r="D109" s="31">
        <v>2004</v>
      </c>
      <c r="E109" s="44">
        <v>1</v>
      </c>
      <c r="F109" s="31" t="s">
        <v>26</v>
      </c>
      <c r="G109" s="31" t="s">
        <v>390</v>
      </c>
      <c r="H109" s="31" t="s">
        <v>375</v>
      </c>
      <c r="I109" s="35">
        <f>4.6/6</f>
        <v>0.76666666666666661</v>
      </c>
      <c r="J109" s="35">
        <f>3.8/6</f>
        <v>0.6333333333333333</v>
      </c>
      <c r="K109" s="35">
        <f>4.4/6</f>
        <v>0.73333333333333339</v>
      </c>
      <c r="L109" s="35">
        <f>3.5/6</f>
        <v>0.58333333333333337</v>
      </c>
      <c r="M109" s="35">
        <f>3.4/6</f>
        <v>0.56666666666666665</v>
      </c>
      <c r="N109" s="35">
        <f>3.6/6</f>
        <v>0.6</v>
      </c>
      <c r="O109" s="35">
        <f>3.3/6</f>
        <v>0.54999999999999993</v>
      </c>
      <c r="P109" s="35">
        <f>3.2/6</f>
        <v>0.53333333333333333</v>
      </c>
      <c r="Q109" s="35">
        <f>3.3/6</f>
        <v>0.54999999999999993</v>
      </c>
      <c r="R109" s="35">
        <f>3.6/6</f>
        <v>0.6</v>
      </c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"/>
      <c r="BF109" s="1"/>
      <c r="BG109" s="1"/>
      <c r="BH109" s="1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</row>
    <row r="110" spans="1:73" x14ac:dyDescent="0.25">
      <c r="A110" s="30">
        <v>43648</v>
      </c>
      <c r="B110" s="32"/>
      <c r="C110" s="32"/>
      <c r="D110" s="31"/>
      <c r="E110" s="44"/>
      <c r="F110" s="31"/>
      <c r="G110" s="31"/>
      <c r="H110" s="31"/>
      <c r="I110" s="33">
        <f>1*365*24*3600</f>
        <v>31536000</v>
      </c>
      <c r="J110" s="33">
        <f>3*365*24*3600</f>
        <v>94608000</v>
      </c>
      <c r="K110" s="33">
        <f>5*365*24*3600</f>
        <v>157680000</v>
      </c>
      <c r="L110" s="33">
        <f>7*365*24*3600</f>
        <v>220752000</v>
      </c>
      <c r="M110" s="33">
        <f>9*365*24*3600</f>
        <v>283824000</v>
      </c>
      <c r="N110" s="33">
        <f>11*365*24*3600</f>
        <v>346896000</v>
      </c>
      <c r="O110" s="33">
        <f>13*365*24*3600</f>
        <v>409968000</v>
      </c>
      <c r="P110" s="33">
        <f>15*365*24*3600</f>
        <v>473040000</v>
      </c>
      <c r="Q110" s="33">
        <f>17*365*24*3600</f>
        <v>536112000</v>
      </c>
      <c r="R110" s="33">
        <f>19*365*24*3600</f>
        <v>599184000</v>
      </c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"/>
      <c r="BF110" s="1"/>
      <c r="BG110" s="1"/>
      <c r="BH110" s="1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</row>
    <row r="111" spans="1:73" x14ac:dyDescent="0.25">
      <c r="A111" s="30">
        <v>43648</v>
      </c>
      <c r="B111" s="32" t="s">
        <v>192</v>
      </c>
      <c r="C111" s="32" t="s">
        <v>50</v>
      </c>
      <c r="D111" s="31">
        <v>2004</v>
      </c>
      <c r="E111" s="44">
        <v>1</v>
      </c>
      <c r="F111" s="31" t="s">
        <v>26</v>
      </c>
      <c r="G111" s="31" t="s">
        <v>391</v>
      </c>
      <c r="H111" s="31" t="s">
        <v>375</v>
      </c>
      <c r="I111" s="35">
        <f>4.1/6</f>
        <v>0.68333333333333324</v>
      </c>
      <c r="J111" s="35">
        <f>3.3/6</f>
        <v>0.54999999999999993</v>
      </c>
      <c r="K111" s="35">
        <f>2.9/6</f>
        <v>0.48333333333333334</v>
      </c>
      <c r="L111" s="35">
        <f>3/6</f>
        <v>0.5</v>
      </c>
      <c r="M111" s="35">
        <f>2.8/6</f>
        <v>0.46666666666666662</v>
      </c>
      <c r="N111" s="35">
        <f>2.7/6</f>
        <v>0.45</v>
      </c>
      <c r="O111" s="35">
        <f>2.8/6</f>
        <v>0.46666666666666662</v>
      </c>
      <c r="P111" s="35">
        <f>2.5/6</f>
        <v>0.41666666666666669</v>
      </c>
      <c r="Q111" s="35">
        <f>2.6/6</f>
        <v>0.43333333333333335</v>
      </c>
      <c r="R111" s="35">
        <f>2.4/6</f>
        <v>0.39999999999999997</v>
      </c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"/>
      <c r="BF111" s="1"/>
      <c r="BG111" s="1"/>
      <c r="BH111" s="1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</row>
    <row r="112" spans="1:73" x14ac:dyDescent="0.25">
      <c r="A112" s="30">
        <v>43906</v>
      </c>
      <c r="B112" s="32"/>
      <c r="C112" s="32"/>
      <c r="D112" s="31"/>
      <c r="E112" s="44"/>
      <c r="F112" s="31"/>
      <c r="G112" s="31"/>
      <c r="H112" s="31"/>
      <c r="I112" s="33">
        <v>300</v>
      </c>
      <c r="J112" s="33">
        <f>60*60*24</f>
        <v>86400</v>
      </c>
      <c r="K112" s="33">
        <f>J112*2</f>
        <v>172800</v>
      </c>
      <c r="L112" s="33">
        <f>J112*4</f>
        <v>345600</v>
      </c>
      <c r="M112" s="33">
        <f>J112*7</f>
        <v>604800</v>
      </c>
      <c r="N112" s="33">
        <f>J112*14</f>
        <v>1209600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"/>
      <c r="BF112" s="1"/>
      <c r="BG112" s="1"/>
      <c r="BH112" s="1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</row>
    <row r="113" spans="1:73" x14ac:dyDescent="0.25">
      <c r="A113" s="30">
        <v>43906</v>
      </c>
      <c r="B113" s="32" t="s">
        <v>302</v>
      </c>
      <c r="C113" s="32" t="s">
        <v>301</v>
      </c>
      <c r="D113" s="31">
        <v>2009</v>
      </c>
      <c r="E113" s="44">
        <v>1</v>
      </c>
      <c r="F113" s="31" t="s">
        <v>304</v>
      </c>
      <c r="G113" s="31"/>
      <c r="H113" s="31" t="s">
        <v>303</v>
      </c>
      <c r="I113" s="35">
        <v>0.92177419354838697</v>
      </c>
      <c r="J113" s="35">
        <v>0.83790322580645205</v>
      </c>
      <c r="K113" s="35">
        <v>0.68833333333333302</v>
      </c>
      <c r="L113" s="35">
        <v>0.52155172413793105</v>
      </c>
      <c r="M113" s="35">
        <v>0.437931034482759</v>
      </c>
      <c r="N113" s="35">
        <v>0.28359374999999998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"/>
      <c r="BF113" s="1"/>
      <c r="BG113" s="1"/>
      <c r="BH113" s="1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</row>
    <row r="114" spans="1:73" x14ac:dyDescent="0.25">
      <c r="A114" s="30">
        <v>43906</v>
      </c>
      <c r="B114" s="32"/>
      <c r="C114" s="32"/>
      <c r="D114" s="31"/>
      <c r="E114" s="44"/>
      <c r="F114" s="31"/>
      <c r="G114" s="31"/>
      <c r="H114" s="31"/>
      <c r="I114" s="33">
        <v>300</v>
      </c>
      <c r="J114" s="33">
        <f>60*60*24</f>
        <v>86400</v>
      </c>
      <c r="K114" s="33">
        <f>J114*7</f>
        <v>604800</v>
      </c>
      <c r="L114" s="33">
        <f>J114*28</f>
        <v>2419200</v>
      </c>
      <c r="M114" s="33">
        <f>J114*84</f>
        <v>7257600</v>
      </c>
      <c r="N114" s="33">
        <f>J114*168</f>
        <v>14515200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"/>
      <c r="BF114" s="1"/>
      <c r="BG114" s="1"/>
      <c r="BH114" s="1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</row>
    <row r="115" spans="1:73" x14ac:dyDescent="0.25">
      <c r="A115" s="30">
        <v>43906</v>
      </c>
      <c r="B115" s="32" t="s">
        <v>302</v>
      </c>
      <c r="C115" s="32" t="s">
        <v>301</v>
      </c>
      <c r="D115" s="31">
        <v>2009</v>
      </c>
      <c r="E115" s="44">
        <v>2</v>
      </c>
      <c r="F115" s="31" t="s">
        <v>304</v>
      </c>
      <c r="G115" s="31"/>
      <c r="H115" s="31" t="s">
        <v>292</v>
      </c>
      <c r="I115" s="35">
        <v>0.96</v>
      </c>
      <c r="J115" s="35">
        <v>0.92</v>
      </c>
      <c r="K115" s="35">
        <v>0.79</v>
      </c>
      <c r="L115" s="35">
        <v>0.48</v>
      </c>
      <c r="M115" s="35">
        <v>0.28000000000000003</v>
      </c>
      <c r="N115" s="35">
        <v>0.22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"/>
      <c r="BF115" s="1"/>
      <c r="BG115" s="1"/>
      <c r="BH115" s="1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</row>
    <row r="116" spans="1:73" x14ac:dyDescent="0.25">
      <c r="A116" s="30">
        <v>43906</v>
      </c>
      <c r="B116" s="32"/>
      <c r="C116" s="32"/>
      <c r="D116" s="31"/>
      <c r="E116" s="44"/>
      <c r="F116" s="31"/>
      <c r="G116" s="31"/>
      <c r="H116" s="31"/>
      <c r="I116" s="33">
        <v>300</v>
      </c>
      <c r="J116" s="33">
        <f>60*60*24</f>
        <v>86400</v>
      </c>
      <c r="K116" s="33">
        <f>J116*7</f>
        <v>604800</v>
      </c>
      <c r="L116" s="33">
        <f>J116*28</f>
        <v>2419200</v>
      </c>
      <c r="M116" s="33">
        <f>J116*84</f>
        <v>7257600</v>
      </c>
      <c r="N116" s="33">
        <f>J116*168</f>
        <v>14515200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"/>
      <c r="BF116" s="1"/>
      <c r="BG116" s="1"/>
      <c r="BH116" s="1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</row>
    <row r="117" spans="1:73" x14ac:dyDescent="0.25">
      <c r="A117" s="30">
        <v>43906</v>
      </c>
      <c r="B117" s="32" t="s">
        <v>302</v>
      </c>
      <c r="C117" s="32" t="s">
        <v>301</v>
      </c>
      <c r="D117" s="31">
        <v>2009</v>
      </c>
      <c r="E117" s="44">
        <v>2</v>
      </c>
      <c r="F117" s="31" t="s">
        <v>304</v>
      </c>
      <c r="G117" s="31"/>
      <c r="H117" s="31" t="s">
        <v>396</v>
      </c>
      <c r="I117" s="35">
        <v>0.93</v>
      </c>
      <c r="J117" s="35">
        <v>0.84</v>
      </c>
      <c r="K117" s="35">
        <v>0.56999999999999995</v>
      </c>
      <c r="L117" s="35">
        <v>0.25</v>
      </c>
      <c r="M117" s="35">
        <v>0.09</v>
      </c>
      <c r="N117" s="35">
        <v>0.06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"/>
      <c r="BF117" s="1"/>
      <c r="BG117" s="1"/>
      <c r="BH117" s="1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</row>
    <row r="118" spans="1:73" x14ac:dyDescent="0.25">
      <c r="A118" s="27">
        <v>43895</v>
      </c>
      <c r="B118" s="1"/>
      <c r="C118" s="1"/>
      <c r="D118" s="23"/>
      <c r="E118" s="38"/>
      <c r="F118" s="23"/>
      <c r="G118" s="23"/>
      <c r="H118" s="23"/>
      <c r="I118" s="12">
        <v>157680000</v>
      </c>
      <c r="J118" s="12">
        <v>473040000</v>
      </c>
      <c r="K118" s="12">
        <v>788400000</v>
      </c>
      <c r="L118" s="12">
        <v>1103760000</v>
      </c>
      <c r="M118" s="12">
        <v>1419120000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"/>
      <c r="BF118" s="1"/>
      <c r="BG118" s="1"/>
      <c r="BH118" s="1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</row>
    <row r="119" spans="1:73" x14ac:dyDescent="0.25">
      <c r="A119" s="27">
        <v>43895</v>
      </c>
      <c r="B119" s="1" t="s">
        <v>205</v>
      </c>
      <c r="C119" s="1" t="s">
        <v>36</v>
      </c>
      <c r="D119" s="23">
        <v>1983</v>
      </c>
      <c r="E119" s="38">
        <v>1</v>
      </c>
      <c r="F119" s="23" t="s">
        <v>146</v>
      </c>
      <c r="G119" s="23" t="s">
        <v>197</v>
      </c>
      <c r="H119" s="23" t="s">
        <v>208</v>
      </c>
      <c r="I119" s="18">
        <v>0.79032258064516125</v>
      </c>
      <c r="J119" s="18">
        <v>0.81967213114754101</v>
      </c>
      <c r="K119" s="18">
        <v>0.79166666666666663</v>
      </c>
      <c r="L119" s="18">
        <v>0.71739130434782605</v>
      </c>
      <c r="M119" s="18">
        <v>0.77551020408163263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"/>
      <c r="BF119" s="1"/>
      <c r="BG119" s="1"/>
      <c r="BH119" s="1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</row>
    <row r="120" spans="1:73" x14ac:dyDescent="0.25">
      <c r="A120" s="27">
        <v>43895</v>
      </c>
      <c r="B120" s="1"/>
      <c r="C120" s="1"/>
      <c r="D120" s="23"/>
      <c r="E120" s="38"/>
      <c r="F120" s="23"/>
      <c r="G120" s="23"/>
      <c r="H120" s="23"/>
      <c r="I120" s="12">
        <v>157680000</v>
      </c>
      <c r="J120" s="12">
        <v>473040000</v>
      </c>
      <c r="K120" s="12">
        <v>788400000</v>
      </c>
      <c r="L120" s="12">
        <v>1103760000</v>
      </c>
      <c r="M120" s="12">
        <v>1419120000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"/>
      <c r="BF120" s="1"/>
      <c r="BG120" s="1"/>
      <c r="BH120" s="1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</row>
    <row r="121" spans="1:73" x14ac:dyDescent="0.25">
      <c r="A121" s="27">
        <v>43895</v>
      </c>
      <c r="B121" s="1" t="s">
        <v>209</v>
      </c>
      <c r="C121" s="1" t="s">
        <v>210</v>
      </c>
      <c r="D121" s="23">
        <v>1981</v>
      </c>
      <c r="E121" s="37">
        <v>1</v>
      </c>
      <c r="F121" s="23" t="s">
        <v>26</v>
      </c>
      <c r="G121" s="23" t="s">
        <v>197</v>
      </c>
      <c r="H121" s="23" t="s">
        <v>208</v>
      </c>
      <c r="I121" s="18">
        <v>0.63380281690140849</v>
      </c>
      <c r="J121" s="18">
        <v>0.58904109589041098</v>
      </c>
      <c r="K121" s="18">
        <v>0.51937984496124034</v>
      </c>
      <c r="L121" s="18">
        <v>0.53020134228187921</v>
      </c>
      <c r="M121" s="18">
        <v>0.4705882352941177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"/>
      <c r="BF121" s="1"/>
      <c r="BG121" s="1"/>
      <c r="BH121" s="1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</row>
    <row r="122" spans="1:73" x14ac:dyDescent="0.25">
      <c r="A122" s="30">
        <v>43509</v>
      </c>
      <c r="B122" s="32"/>
      <c r="C122" s="32"/>
      <c r="D122" s="31"/>
      <c r="E122" s="44"/>
      <c r="F122" s="31"/>
      <c r="G122" s="31"/>
      <c r="H122" s="31"/>
      <c r="I122" s="33">
        <f>3*30*24*60*60</f>
        <v>7776000</v>
      </c>
      <c r="J122" s="33">
        <f>(365*24*60*60)+(3*30*24*60*60)</f>
        <v>39312000</v>
      </c>
      <c r="K122" s="33">
        <f>(2*365*24*60*60)+(3*30*24*60*60)</f>
        <v>70848000</v>
      </c>
      <c r="L122" s="33">
        <f>(3*365*24*60*60)+(3*30*24*60*60)</f>
        <v>102384000</v>
      </c>
      <c r="M122" s="33">
        <f>(3*365*24*60*60)+(6*30*24*60*60)</f>
        <v>110160000</v>
      </c>
      <c r="N122" s="33">
        <f>(4*365*24*60*60)+(6*30*24*60*60)</f>
        <v>141696000</v>
      </c>
      <c r="O122" s="33">
        <f>(5*365*24*60*60)+(6*30*24*60*60)</f>
        <v>173232000</v>
      </c>
      <c r="P122" s="33">
        <f>(6*365*24*60*60)+(6*30*24*60*60)</f>
        <v>204768000</v>
      </c>
      <c r="Q122" s="33">
        <f>(7*365*24*60*60)+(6*30*24*60*60)</f>
        <v>236304000</v>
      </c>
      <c r="R122" s="33">
        <f>(8*365*24*60*60)+(6*30*24*60*60)</f>
        <v>267840000</v>
      </c>
      <c r="S122" s="33">
        <f>(9*365*24*60*60)+(6*30*24*60*60)</f>
        <v>299376000</v>
      </c>
      <c r="T122" s="33">
        <f>(10*365*24*60*60)+(6*30*24*60*60)</f>
        <v>330912000</v>
      </c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"/>
      <c r="BF122" s="1"/>
      <c r="BG122" s="1"/>
      <c r="BH122" s="1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</row>
    <row r="123" spans="1:73" x14ac:dyDescent="0.25">
      <c r="A123" s="30">
        <v>43509</v>
      </c>
      <c r="B123" s="32" t="s">
        <v>133</v>
      </c>
      <c r="C123" s="32" t="s">
        <v>123</v>
      </c>
      <c r="D123" s="31">
        <v>1991</v>
      </c>
      <c r="E123" s="44">
        <v>1</v>
      </c>
      <c r="F123" s="31" t="s">
        <v>32</v>
      </c>
      <c r="G123" s="31" t="s">
        <v>63</v>
      </c>
      <c r="H123" s="31" t="s">
        <v>63</v>
      </c>
      <c r="I123" s="35">
        <v>0.80394842868654293</v>
      </c>
      <c r="J123" s="35">
        <v>0.75431103948428602</v>
      </c>
      <c r="K123" s="35">
        <v>0.74141821112006401</v>
      </c>
      <c r="L123" s="35">
        <v>0.74335213537469702</v>
      </c>
      <c r="M123" s="35">
        <v>0.65052377115229598</v>
      </c>
      <c r="N123" s="35">
        <v>0.66180499597099096</v>
      </c>
      <c r="O123" s="35">
        <v>0.67502014504431895</v>
      </c>
      <c r="P123" s="35">
        <v>0.63634165995165093</v>
      </c>
      <c r="Q123" s="35">
        <v>0.66212731668009595</v>
      </c>
      <c r="R123" s="35">
        <v>0.64149879129734</v>
      </c>
      <c r="S123" s="35">
        <v>0.64439967767929007</v>
      </c>
      <c r="T123" s="35">
        <v>0.68211120064464092</v>
      </c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"/>
      <c r="BF123" s="1"/>
      <c r="BG123" s="1"/>
      <c r="BH123" s="1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</row>
    <row r="124" spans="1:73" x14ac:dyDescent="0.25">
      <c r="A124" s="30">
        <v>43509</v>
      </c>
      <c r="B124" s="32"/>
      <c r="C124" s="32"/>
      <c r="D124" s="31"/>
      <c r="E124" s="44"/>
      <c r="F124" s="31"/>
      <c r="G124" s="31"/>
      <c r="H124" s="31"/>
      <c r="I124" s="33">
        <f>3*30*24*60*60</f>
        <v>7776000</v>
      </c>
      <c r="J124" s="33">
        <f>(365*24*60*60)+(3*30*24*60*60)</f>
        <v>39312000</v>
      </c>
      <c r="K124" s="33">
        <f>(2*365*24*60*60)+(3*30*24*60*60)</f>
        <v>70848000</v>
      </c>
      <c r="L124" s="33">
        <f>(3*365*24*60*60)+(3*30*24*60*60)</f>
        <v>102384000</v>
      </c>
      <c r="M124" s="33">
        <f>(3*365*24*60*60)+(6*30*24*60*60)</f>
        <v>110160000</v>
      </c>
      <c r="N124" s="33">
        <f>(4*365*24*60*60)+(6*30*24*60*60)</f>
        <v>141696000</v>
      </c>
      <c r="O124" s="33">
        <f>(5*365*24*60*60)+(6*30*24*60*60)</f>
        <v>173232000</v>
      </c>
      <c r="P124" s="33">
        <f>(6*365*24*60*60)+(6*30*24*60*60)</f>
        <v>204768000</v>
      </c>
      <c r="Q124" s="33">
        <f>(7*365*24*60*60)+(6*30*24*60*60)</f>
        <v>236304000</v>
      </c>
      <c r="R124" s="33">
        <f>(8*365*24*60*60)+(6*30*24*60*60)</f>
        <v>267840000</v>
      </c>
      <c r="S124" s="33">
        <f>(9*365*24*60*60)+(6*30*24*60*60)</f>
        <v>299376000</v>
      </c>
      <c r="T124" s="33">
        <f>(10*365*24*60*60)+(6*30*24*60*60)</f>
        <v>330912000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"/>
      <c r="BF124" s="1"/>
      <c r="BG124" s="1"/>
      <c r="BH124" s="1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</row>
    <row r="125" spans="1:73" x14ac:dyDescent="0.25">
      <c r="A125" s="30">
        <v>43509</v>
      </c>
      <c r="B125" s="32" t="s">
        <v>133</v>
      </c>
      <c r="C125" s="32" t="s">
        <v>123</v>
      </c>
      <c r="D125" s="31">
        <v>1991</v>
      </c>
      <c r="E125" s="44">
        <v>1</v>
      </c>
      <c r="F125" s="31" t="s">
        <v>32</v>
      </c>
      <c r="G125" s="31" t="s">
        <v>124</v>
      </c>
      <c r="H125" s="31" t="s">
        <v>124</v>
      </c>
      <c r="I125" s="35">
        <v>0.78557614826752598</v>
      </c>
      <c r="J125" s="35">
        <v>0.74625302175664698</v>
      </c>
      <c r="K125" s="35">
        <v>0.682755842062852</v>
      </c>
      <c r="L125" s="35">
        <v>0.68533440773569698</v>
      </c>
      <c r="M125" s="35">
        <v>0.63634165995165093</v>
      </c>
      <c r="N125" s="35">
        <v>0.67340854149879104</v>
      </c>
      <c r="O125" s="35">
        <v>0.62763900080580104</v>
      </c>
      <c r="P125" s="35">
        <v>0.64278807413376304</v>
      </c>
      <c r="Q125" s="35">
        <v>0.63892022562449602</v>
      </c>
      <c r="R125" s="35">
        <v>0.63827558420628494</v>
      </c>
      <c r="S125" s="35">
        <v>0.62763900080580104</v>
      </c>
      <c r="T125" s="35">
        <v>0.67</v>
      </c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"/>
      <c r="BF125" s="1"/>
      <c r="BG125" s="1"/>
      <c r="BH125" s="1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</row>
    <row r="126" spans="1:73" x14ac:dyDescent="0.25">
      <c r="A126" s="30">
        <v>43509</v>
      </c>
      <c r="B126" s="32"/>
      <c r="C126" s="32"/>
      <c r="D126" s="31"/>
      <c r="E126" s="44"/>
      <c r="F126" s="31"/>
      <c r="G126" s="31"/>
      <c r="H126" s="31"/>
      <c r="I126" s="33">
        <f>3*30*24*60*60</f>
        <v>7776000</v>
      </c>
      <c r="J126" s="33">
        <f>(365*24*60*60)+(3*30*24*60*60)</f>
        <v>39312000</v>
      </c>
      <c r="K126" s="33">
        <f>(2*365*24*60*60)+(3*30*24*60*60)</f>
        <v>70848000</v>
      </c>
      <c r="L126" s="33">
        <f>(3*365*24*60*60)+(3*30*24*60*60)</f>
        <v>102384000</v>
      </c>
      <c r="M126" s="33">
        <f>(3*365*24*60*60)+(6*30*24*60*60)</f>
        <v>110160000</v>
      </c>
      <c r="N126" s="33">
        <f>(4*365*24*60*60)+(6*30*24*60*60)</f>
        <v>141696000</v>
      </c>
      <c r="O126" s="33">
        <f>(5*365*24*60*60)+(6*30*24*60*60)</f>
        <v>173232000</v>
      </c>
      <c r="P126" s="33">
        <f>(6*365*24*60*60)+(6*30*24*60*60)</f>
        <v>204768000</v>
      </c>
      <c r="Q126" s="33">
        <f>(7*365*24*60*60)+(6*30*24*60*60)</f>
        <v>236304000</v>
      </c>
      <c r="R126" s="33">
        <f>(8*365*24*60*60)+(6*30*24*60*60)</f>
        <v>267840000</v>
      </c>
      <c r="S126" s="33">
        <f>(9*365*24*60*60)+(6*30*24*60*60)</f>
        <v>299376000</v>
      </c>
      <c r="T126" s="33">
        <f>(10*365*24*60*60)+(6*30*24*60*60)</f>
        <v>330912000</v>
      </c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"/>
      <c r="BF126" s="1"/>
      <c r="BG126" s="1"/>
      <c r="BH126" s="1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</row>
    <row r="127" spans="1:73" x14ac:dyDescent="0.25">
      <c r="A127" s="30">
        <v>43509</v>
      </c>
      <c r="B127" s="32" t="s">
        <v>133</v>
      </c>
      <c r="C127" s="32" t="s">
        <v>123</v>
      </c>
      <c r="D127" s="31">
        <v>1991</v>
      </c>
      <c r="E127" s="44">
        <v>1</v>
      </c>
      <c r="F127" s="31" t="s">
        <v>25</v>
      </c>
      <c r="G127" s="31" t="s">
        <v>63</v>
      </c>
      <c r="H127" s="31" t="s">
        <v>63</v>
      </c>
      <c r="I127" s="35">
        <v>0.60232787750619898</v>
      </c>
      <c r="J127" s="35">
        <v>0.43752953022102403</v>
      </c>
      <c r="K127" s="35">
        <v>0.36835989559743099</v>
      </c>
      <c r="L127" s="35">
        <v>0.30743623916139001</v>
      </c>
      <c r="M127" s="35">
        <v>0.281068399323533</v>
      </c>
      <c r="N127" s="35">
        <v>0.30258432201870999</v>
      </c>
      <c r="O127" s="35">
        <v>0.289475347764175</v>
      </c>
      <c r="P127" s="35">
        <v>0.26358813773057899</v>
      </c>
      <c r="Q127" s="35">
        <v>0.23564057362759802</v>
      </c>
      <c r="R127" s="35">
        <v>0.30290756592774498</v>
      </c>
      <c r="S127" s="35">
        <v>0.225495211623746</v>
      </c>
      <c r="T127" s="35">
        <v>0.25319545503423002</v>
      </c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"/>
      <c r="BF127" s="1"/>
      <c r="BG127" s="1"/>
      <c r="BH127" s="1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</row>
    <row r="128" spans="1:73" x14ac:dyDescent="0.25">
      <c r="A128" s="30">
        <v>43509</v>
      </c>
      <c r="B128" s="32"/>
      <c r="C128" s="32"/>
      <c r="D128" s="31"/>
      <c r="E128" s="44"/>
      <c r="F128" s="31"/>
      <c r="G128" s="31"/>
      <c r="H128" s="31"/>
      <c r="I128" s="33">
        <f>3*30*24*60*60</f>
        <v>7776000</v>
      </c>
      <c r="J128" s="33">
        <f>(365*24*60*60)+(3*30*24*60*60)</f>
        <v>39312000</v>
      </c>
      <c r="K128" s="33">
        <f>(2*365*24*60*60)+(3*30*24*60*60)</f>
        <v>70848000</v>
      </c>
      <c r="L128" s="33">
        <f>(3*365*24*60*60)+(3*30*24*60*60)</f>
        <v>102384000</v>
      </c>
      <c r="M128" s="33">
        <f>(3*365*24*60*60)+(6*30*24*60*60)</f>
        <v>110160000</v>
      </c>
      <c r="N128" s="33">
        <f>(4*365*24*60*60)+(6*30*24*60*60)</f>
        <v>141696000</v>
      </c>
      <c r="O128" s="33">
        <f>(5*365*24*60*60)+(6*30*24*60*60)</f>
        <v>173232000</v>
      </c>
      <c r="P128" s="33">
        <f>(6*365*24*60*60)+(6*30*24*60*60)</f>
        <v>204768000</v>
      </c>
      <c r="Q128" s="33">
        <f>(7*365*24*60*60)+(6*30*24*60*60)</f>
        <v>236304000</v>
      </c>
      <c r="R128" s="33">
        <f>(8*365*24*60*60)+(6*30*24*60*60)</f>
        <v>267840000</v>
      </c>
      <c r="S128" s="33">
        <f>(9*365*24*60*60)+(6*30*24*60*60)</f>
        <v>299376000</v>
      </c>
      <c r="T128" s="33">
        <f>(10*365*24*60*60)+(6*30*24*60*60)</f>
        <v>330912000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"/>
      <c r="BF128" s="1"/>
      <c r="BG128" s="1"/>
      <c r="BH128" s="1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</row>
    <row r="129" spans="1:73" x14ac:dyDescent="0.25">
      <c r="A129" s="30">
        <v>43509</v>
      </c>
      <c r="B129" s="32" t="s">
        <v>133</v>
      </c>
      <c r="C129" s="32" t="s">
        <v>123</v>
      </c>
      <c r="D129" s="31">
        <v>1991</v>
      </c>
      <c r="E129" s="44">
        <v>1</v>
      </c>
      <c r="F129" s="31" t="s">
        <v>25</v>
      </c>
      <c r="G129" s="31" t="s">
        <v>124</v>
      </c>
      <c r="H129" s="31" t="s">
        <v>124</v>
      </c>
      <c r="I129" s="35">
        <v>0.56316941956212097</v>
      </c>
      <c r="J129" s="35">
        <v>0.319229754080465</v>
      </c>
      <c r="K129" s="35">
        <v>0.217082723720954</v>
      </c>
      <c r="L129" s="35">
        <v>0.232003427949519</v>
      </c>
      <c r="M129" s="35">
        <v>0.24726790468214802</v>
      </c>
      <c r="N129" s="35">
        <v>0.32401943373662695</v>
      </c>
      <c r="O129" s="35">
        <v>0.345121851874781</v>
      </c>
      <c r="P129" s="35">
        <v>0.29821238297886099</v>
      </c>
      <c r="Q129" s="35">
        <v>0.23976323687065901</v>
      </c>
      <c r="R129" s="35">
        <v>0.28147245420982797</v>
      </c>
      <c r="S129" s="35">
        <v>0.18139033982971001</v>
      </c>
      <c r="T129" s="35">
        <v>0.36819827364291302</v>
      </c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"/>
      <c r="BF129" s="1"/>
      <c r="BG129" s="1"/>
      <c r="BH129" s="1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</row>
    <row r="130" spans="1:73" x14ac:dyDescent="0.25">
      <c r="A130" s="27">
        <v>43903</v>
      </c>
      <c r="B130" s="5"/>
      <c r="C130" s="5"/>
      <c r="D130" s="22"/>
      <c r="E130" s="37"/>
      <c r="F130" s="22"/>
      <c r="G130" s="22"/>
      <c r="I130" s="16">
        <v>15768000</v>
      </c>
      <c r="J130" s="16">
        <f t="shared" ref="J130:P130" si="0">I130+15768000</f>
        <v>31536000</v>
      </c>
      <c r="K130" s="16">
        <f t="shared" si="0"/>
        <v>47304000</v>
      </c>
      <c r="L130" s="16">
        <f t="shared" si="0"/>
        <v>63072000</v>
      </c>
      <c r="M130" s="16">
        <f t="shared" si="0"/>
        <v>78840000</v>
      </c>
      <c r="N130" s="16">
        <f t="shared" si="0"/>
        <v>94608000</v>
      </c>
      <c r="O130" s="16">
        <f t="shared" si="0"/>
        <v>110376000</v>
      </c>
      <c r="P130" s="16">
        <f t="shared" si="0"/>
        <v>126144000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5"/>
      <c r="BF130" s="5"/>
      <c r="BG130" s="5"/>
      <c r="BH130" s="5"/>
    </row>
    <row r="131" spans="1:73" x14ac:dyDescent="0.25">
      <c r="A131" s="27">
        <v>43903</v>
      </c>
      <c r="B131" s="5" t="s">
        <v>295</v>
      </c>
      <c r="C131" s="5" t="s">
        <v>164</v>
      </c>
      <c r="D131" s="22">
        <v>2020</v>
      </c>
      <c r="E131" s="37">
        <v>1</v>
      </c>
      <c r="F131" s="22" t="s">
        <v>433</v>
      </c>
      <c r="G131" s="22" t="s">
        <v>494</v>
      </c>
      <c r="H131" s="26" t="s">
        <v>297</v>
      </c>
      <c r="I131" s="2">
        <v>0.5625</v>
      </c>
      <c r="J131" s="2">
        <v>0.58041680664000006</v>
      </c>
      <c r="K131" s="2">
        <v>0.54989693988679234</v>
      </c>
      <c r="L131" s="2">
        <v>0.53100613213513514</v>
      </c>
      <c r="M131" s="2">
        <v>0.47659566151162791</v>
      </c>
      <c r="N131" s="2">
        <v>0.4953404810689655</v>
      </c>
      <c r="O131" s="2">
        <v>0.456421568625</v>
      </c>
      <c r="P131" s="2">
        <v>0.44103896100000012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5"/>
      <c r="BF131" s="5"/>
      <c r="BG131" s="5"/>
      <c r="BH131" s="5"/>
    </row>
    <row r="132" spans="1:73" x14ac:dyDescent="0.25">
      <c r="A132" s="27">
        <v>43903</v>
      </c>
      <c r="B132" s="5"/>
      <c r="C132" s="5"/>
      <c r="D132" s="22"/>
      <c r="E132" s="37"/>
      <c r="F132" s="22"/>
      <c r="G132" s="22"/>
      <c r="I132" s="16">
        <v>15768000</v>
      </c>
      <c r="J132" s="16">
        <f t="shared" ref="J132:P132" si="1">I132+15768000</f>
        <v>31536000</v>
      </c>
      <c r="K132" s="16">
        <f t="shared" si="1"/>
        <v>47304000</v>
      </c>
      <c r="L132" s="16">
        <f t="shared" si="1"/>
        <v>63072000</v>
      </c>
      <c r="M132" s="16">
        <f t="shared" si="1"/>
        <v>78840000</v>
      </c>
      <c r="N132" s="16">
        <f t="shared" si="1"/>
        <v>94608000</v>
      </c>
      <c r="O132" s="16">
        <f t="shared" si="1"/>
        <v>110376000</v>
      </c>
      <c r="P132" s="16">
        <f t="shared" si="1"/>
        <v>126144000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5"/>
      <c r="BF132" s="5"/>
      <c r="BG132" s="5"/>
      <c r="BH132" s="5"/>
    </row>
    <row r="133" spans="1:73" x14ac:dyDescent="0.25">
      <c r="A133" s="27">
        <v>43903</v>
      </c>
      <c r="B133" s="5" t="s">
        <v>295</v>
      </c>
      <c r="C133" s="5" t="s">
        <v>164</v>
      </c>
      <c r="D133" s="22">
        <v>2020</v>
      </c>
      <c r="E133" s="37">
        <v>1</v>
      </c>
      <c r="F133" s="22" t="s">
        <v>433</v>
      </c>
      <c r="G133" s="22" t="s">
        <v>420</v>
      </c>
      <c r="H133" s="26" t="s">
        <v>297</v>
      </c>
      <c r="I133" s="2">
        <v>0.64663461524999999</v>
      </c>
      <c r="J133" s="2">
        <v>0.52451282051999992</v>
      </c>
      <c r="K133" s="2">
        <v>0.52694726658490565</v>
      </c>
      <c r="L133" s="2">
        <v>0.46517671524324317</v>
      </c>
      <c r="M133" s="2">
        <v>0.44102564102325592</v>
      </c>
      <c r="N133" s="2">
        <v>0.43050397879310343</v>
      </c>
      <c r="O133" s="2">
        <v>0.43985042741666663</v>
      </c>
      <c r="P133" s="2">
        <v>0.39347319336363634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5"/>
      <c r="BF133" s="5"/>
      <c r="BG133" s="5"/>
      <c r="BH133" s="5"/>
    </row>
    <row r="134" spans="1:73" x14ac:dyDescent="0.25">
      <c r="A134" s="27">
        <v>43903</v>
      </c>
      <c r="B134" s="5"/>
      <c r="C134" s="5"/>
      <c r="D134" s="22"/>
      <c r="E134" s="37"/>
      <c r="F134" s="22"/>
      <c r="G134" s="22"/>
      <c r="I134" s="16">
        <v>15768000</v>
      </c>
      <c r="J134" s="16">
        <f t="shared" ref="J134:P134" si="2">I134+15768000</f>
        <v>31536000</v>
      </c>
      <c r="K134" s="16">
        <f t="shared" si="2"/>
        <v>47304000</v>
      </c>
      <c r="L134" s="16">
        <f t="shared" si="2"/>
        <v>63072000</v>
      </c>
      <c r="M134" s="16">
        <f t="shared" si="2"/>
        <v>78840000</v>
      </c>
      <c r="N134" s="16">
        <f t="shared" si="2"/>
        <v>94608000</v>
      </c>
      <c r="O134" s="16">
        <f t="shared" si="2"/>
        <v>110376000</v>
      </c>
      <c r="P134" s="16">
        <f t="shared" si="2"/>
        <v>126144000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5"/>
      <c r="BF134" s="5"/>
      <c r="BG134" s="5"/>
      <c r="BH134" s="5"/>
    </row>
    <row r="135" spans="1:73" x14ac:dyDescent="0.25">
      <c r="A135" s="27">
        <v>43903</v>
      </c>
      <c r="B135" s="5" t="s">
        <v>295</v>
      </c>
      <c r="C135" s="5" t="s">
        <v>164</v>
      </c>
      <c r="D135" s="22">
        <v>2020</v>
      </c>
      <c r="E135" s="37">
        <v>1</v>
      </c>
      <c r="F135" s="22" t="s">
        <v>433</v>
      </c>
      <c r="G135" s="22" t="s">
        <v>464</v>
      </c>
      <c r="H135" s="26" t="s">
        <v>297</v>
      </c>
      <c r="I135" s="2">
        <v>0.68750000025000002</v>
      </c>
      <c r="J135" s="2">
        <v>0.67526315784000024</v>
      </c>
      <c r="K135" s="2">
        <v>0.6042287321320754</v>
      </c>
      <c r="L135" s="2">
        <v>0.53390232329729737</v>
      </c>
      <c r="M135" s="2">
        <v>0.55806303551162806</v>
      </c>
      <c r="N135" s="2">
        <v>0.54775408348275856</v>
      </c>
      <c r="O135" s="2">
        <v>0.55222039466666661</v>
      </c>
      <c r="P135" s="2">
        <v>0.49501594890909095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5"/>
      <c r="BF135" s="5"/>
      <c r="BG135" s="5"/>
      <c r="BH135" s="5"/>
    </row>
    <row r="136" spans="1:73" x14ac:dyDescent="0.25">
      <c r="A136" s="27">
        <v>43903</v>
      </c>
      <c r="B136" s="5"/>
      <c r="C136" s="5"/>
      <c r="D136" s="22"/>
      <c r="E136" s="37"/>
      <c r="F136" s="22"/>
      <c r="G136" s="22"/>
      <c r="I136" s="16">
        <v>15768000</v>
      </c>
      <c r="J136" s="16">
        <f t="shared" ref="J136:P136" si="3">I136+15768000</f>
        <v>31536000</v>
      </c>
      <c r="K136" s="16">
        <f t="shared" si="3"/>
        <v>47304000</v>
      </c>
      <c r="L136" s="16">
        <f t="shared" si="3"/>
        <v>63072000</v>
      </c>
      <c r="M136" s="16">
        <f t="shared" si="3"/>
        <v>78840000</v>
      </c>
      <c r="N136" s="16">
        <f t="shared" si="3"/>
        <v>94608000</v>
      </c>
      <c r="O136" s="16">
        <f t="shared" si="3"/>
        <v>110376000</v>
      </c>
      <c r="P136" s="16">
        <f t="shared" si="3"/>
        <v>126144000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5"/>
      <c r="BF136" s="5"/>
      <c r="BG136" s="5"/>
      <c r="BH136" s="5"/>
    </row>
    <row r="137" spans="1:73" x14ac:dyDescent="0.25">
      <c r="A137" s="27">
        <v>43903</v>
      </c>
      <c r="B137" s="5" t="s">
        <v>295</v>
      </c>
      <c r="C137" s="5" t="s">
        <v>164</v>
      </c>
      <c r="D137" s="22">
        <v>2020</v>
      </c>
      <c r="E137" s="37">
        <v>1</v>
      </c>
      <c r="F137" s="22" t="s">
        <v>433</v>
      </c>
      <c r="G137" s="22" t="s">
        <v>424</v>
      </c>
      <c r="H137" s="26" t="s">
        <v>297</v>
      </c>
      <c r="I137" s="2">
        <v>0.6015625</v>
      </c>
      <c r="J137" s="2">
        <v>0.48881868139999995</v>
      </c>
      <c r="K137" s="2">
        <v>0.41492587611320758</v>
      </c>
      <c r="L137" s="2">
        <v>0.40911790927027025</v>
      </c>
      <c r="M137" s="2">
        <v>0.37579862011627913</v>
      </c>
      <c r="N137" s="2">
        <v>0.41043008737931036</v>
      </c>
      <c r="O137" s="2">
        <v>0.36807463387500006</v>
      </c>
      <c r="P137" s="2">
        <v>0.40216033972727278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5"/>
      <c r="BF137" s="5"/>
      <c r="BG137" s="5"/>
      <c r="BH137" s="5"/>
    </row>
    <row r="138" spans="1:73" x14ac:dyDescent="0.25">
      <c r="A138" s="27">
        <v>43903</v>
      </c>
      <c r="B138" s="5"/>
      <c r="C138" s="5"/>
      <c r="D138" s="22"/>
      <c r="E138" s="37"/>
      <c r="F138" s="22"/>
      <c r="G138" s="22"/>
      <c r="I138" s="16">
        <v>15768000</v>
      </c>
      <c r="J138" s="16">
        <f t="shared" ref="J138:P138" si="4">I138+15768000</f>
        <v>31536000</v>
      </c>
      <c r="K138" s="16">
        <f t="shared" si="4"/>
        <v>47304000</v>
      </c>
      <c r="L138" s="16">
        <f t="shared" si="4"/>
        <v>63072000</v>
      </c>
      <c r="M138" s="16">
        <f t="shared" si="4"/>
        <v>78840000</v>
      </c>
      <c r="N138" s="16">
        <f t="shared" si="4"/>
        <v>94608000</v>
      </c>
      <c r="O138" s="16">
        <f t="shared" si="4"/>
        <v>110376000</v>
      </c>
      <c r="P138" s="16">
        <f t="shared" si="4"/>
        <v>126144000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5"/>
      <c r="BF138" s="5"/>
      <c r="BG138" s="5"/>
      <c r="BH138" s="5"/>
    </row>
    <row r="139" spans="1:73" x14ac:dyDescent="0.25">
      <c r="A139" s="27">
        <v>43903</v>
      </c>
      <c r="B139" s="5" t="s">
        <v>295</v>
      </c>
      <c r="C139" s="5" t="s">
        <v>164</v>
      </c>
      <c r="D139" s="22">
        <v>2020</v>
      </c>
      <c r="E139" s="37">
        <v>1</v>
      </c>
      <c r="F139" s="22" t="s">
        <v>433</v>
      </c>
      <c r="G139" s="22" t="s">
        <v>495</v>
      </c>
      <c r="H139" s="26" t="s">
        <v>297</v>
      </c>
      <c r="I139" s="2">
        <v>0.34855769237500001</v>
      </c>
      <c r="J139" s="2">
        <v>0.43205128211999999</v>
      </c>
      <c r="K139" s="2">
        <v>0.37893081771698106</v>
      </c>
      <c r="L139" s="2">
        <v>0.30405405408108116</v>
      </c>
      <c r="M139" s="2">
        <v>0.35927251048837205</v>
      </c>
      <c r="N139" s="2">
        <v>0.35521662244827584</v>
      </c>
      <c r="O139" s="2">
        <v>0.29353632479166664</v>
      </c>
      <c r="P139" s="2">
        <v>0.27855477845454552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5"/>
      <c r="BF139" s="5"/>
      <c r="BG139" s="5"/>
      <c r="BH139" s="5"/>
    </row>
    <row r="140" spans="1:73" x14ac:dyDescent="0.25">
      <c r="A140" s="27">
        <v>43903</v>
      </c>
      <c r="B140" s="5"/>
      <c r="C140" s="5"/>
      <c r="D140" s="22"/>
      <c r="E140" s="37"/>
      <c r="F140" s="22"/>
      <c r="G140" s="22"/>
      <c r="I140" s="16">
        <v>15768000</v>
      </c>
      <c r="J140" s="16">
        <f t="shared" ref="J140:P140" si="5">I140+15768000</f>
        <v>31536000</v>
      </c>
      <c r="K140" s="16">
        <f t="shared" si="5"/>
        <v>47304000</v>
      </c>
      <c r="L140" s="16">
        <f t="shared" si="5"/>
        <v>63072000</v>
      </c>
      <c r="M140" s="16">
        <f t="shared" si="5"/>
        <v>78840000</v>
      </c>
      <c r="N140" s="16">
        <f t="shared" si="5"/>
        <v>94608000</v>
      </c>
      <c r="O140" s="16">
        <f t="shared" si="5"/>
        <v>110376000</v>
      </c>
      <c r="P140" s="16">
        <f t="shared" si="5"/>
        <v>126144000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5"/>
      <c r="BF140" s="5"/>
      <c r="BG140" s="5"/>
      <c r="BH140" s="5"/>
    </row>
    <row r="141" spans="1:73" x14ac:dyDescent="0.25">
      <c r="A141" s="27">
        <v>43903</v>
      </c>
      <c r="B141" s="5" t="s">
        <v>295</v>
      </c>
      <c r="C141" s="5" t="s">
        <v>164</v>
      </c>
      <c r="D141" s="22">
        <v>2020</v>
      </c>
      <c r="E141" s="37">
        <v>1</v>
      </c>
      <c r="F141" s="22" t="s">
        <v>433</v>
      </c>
      <c r="G141" s="22" t="s">
        <v>476</v>
      </c>
      <c r="H141" s="26" t="s">
        <v>297</v>
      </c>
      <c r="I141" s="2">
        <v>0.64434523787499998</v>
      </c>
      <c r="J141" s="2">
        <v>0.50238095231999991</v>
      </c>
      <c r="K141" s="2">
        <v>0.48876909258490581</v>
      </c>
      <c r="L141" s="2">
        <v>0.43564993570270261</v>
      </c>
      <c r="M141" s="2">
        <v>0.39424141755813941</v>
      </c>
      <c r="N141" s="2">
        <v>0.42446633824137936</v>
      </c>
      <c r="O141" s="2">
        <v>0.34027777775000007</v>
      </c>
      <c r="P141" s="2">
        <v>0.39610389600000001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5"/>
      <c r="BF141" s="5"/>
      <c r="BG141" s="5"/>
      <c r="BH141" s="5"/>
    </row>
    <row r="142" spans="1:73" x14ac:dyDescent="0.25">
      <c r="A142" s="27">
        <v>43903</v>
      </c>
      <c r="B142" s="5"/>
      <c r="C142" s="5"/>
      <c r="D142" s="22"/>
      <c r="E142" s="37"/>
      <c r="F142" s="22"/>
      <c r="G142" s="22"/>
      <c r="I142" s="16">
        <v>15768000</v>
      </c>
      <c r="J142" s="16">
        <f t="shared" ref="J142:P142" si="6">I142+15768000</f>
        <v>31536000</v>
      </c>
      <c r="K142" s="16">
        <f t="shared" si="6"/>
        <v>47304000</v>
      </c>
      <c r="L142" s="16">
        <f t="shared" si="6"/>
        <v>63072000</v>
      </c>
      <c r="M142" s="16">
        <f t="shared" si="6"/>
        <v>78840000</v>
      </c>
      <c r="N142" s="16">
        <f t="shared" si="6"/>
        <v>94608000</v>
      </c>
      <c r="O142" s="16">
        <f t="shared" si="6"/>
        <v>110376000</v>
      </c>
      <c r="P142" s="16">
        <f t="shared" si="6"/>
        <v>126144000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5"/>
      <c r="BF142" s="5"/>
      <c r="BG142" s="5"/>
      <c r="BH142" s="5"/>
    </row>
    <row r="143" spans="1:73" x14ac:dyDescent="0.25">
      <c r="A143" s="27">
        <v>43903</v>
      </c>
      <c r="B143" s="5" t="s">
        <v>295</v>
      </c>
      <c r="C143" s="5" t="s">
        <v>164</v>
      </c>
      <c r="D143" s="22">
        <v>2020</v>
      </c>
      <c r="E143" s="37">
        <v>1</v>
      </c>
      <c r="F143" s="22" t="s">
        <v>433</v>
      </c>
      <c r="G143" s="22" t="s">
        <v>497</v>
      </c>
      <c r="H143" s="26" t="s">
        <v>297</v>
      </c>
      <c r="I143" s="2">
        <v>0.55833333337500002</v>
      </c>
      <c r="J143" s="2">
        <v>0.52455677667999989</v>
      </c>
      <c r="K143" s="2">
        <v>0.47548552071698119</v>
      </c>
      <c r="L143" s="2">
        <v>0.46107811113513519</v>
      </c>
      <c r="M143" s="2">
        <v>0.43855524325581402</v>
      </c>
      <c r="N143" s="2">
        <v>0.46452570431034484</v>
      </c>
      <c r="O143" s="2">
        <v>0.43701923070833332</v>
      </c>
      <c r="P143" s="2">
        <v>0.44348984345454545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5"/>
      <c r="BF143" s="5"/>
      <c r="BG143" s="5"/>
      <c r="BH143" s="5"/>
    </row>
    <row r="144" spans="1:73" x14ac:dyDescent="0.25">
      <c r="A144" s="27">
        <v>43903</v>
      </c>
      <c r="B144" s="5"/>
      <c r="C144" s="5"/>
      <c r="D144" s="22"/>
      <c r="E144" s="37"/>
      <c r="F144" s="22"/>
      <c r="G144" s="22"/>
      <c r="I144" s="16">
        <v>31536000</v>
      </c>
      <c r="J144" s="16">
        <v>47304000</v>
      </c>
      <c r="K144" s="16">
        <v>63072000</v>
      </c>
      <c r="L144" s="16">
        <v>78840000</v>
      </c>
      <c r="M144" s="16">
        <v>94608000</v>
      </c>
      <c r="N144" s="16">
        <v>110376000</v>
      </c>
      <c r="O144" s="16">
        <v>126144000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5"/>
      <c r="BF144" s="5"/>
      <c r="BG144" s="5"/>
      <c r="BH144" s="5"/>
    </row>
    <row r="145" spans="1:73" x14ac:dyDescent="0.25">
      <c r="A145" s="27">
        <v>43903</v>
      </c>
      <c r="B145" s="5" t="s">
        <v>295</v>
      </c>
      <c r="C145" s="5" t="s">
        <v>164</v>
      </c>
      <c r="D145" s="22">
        <v>2020</v>
      </c>
      <c r="E145" s="37">
        <v>2</v>
      </c>
      <c r="F145" s="22" t="s">
        <v>433</v>
      </c>
      <c r="G145" s="22" t="s">
        <v>494</v>
      </c>
      <c r="H145" s="26" t="s">
        <v>297</v>
      </c>
      <c r="I145" s="2">
        <v>0.56302521008403306</v>
      </c>
      <c r="J145" s="2">
        <v>0.49985210084033577</v>
      </c>
      <c r="K145" s="2">
        <v>0.5101260504201679</v>
      </c>
      <c r="L145" s="2">
        <v>0.51950630252100805</v>
      </c>
      <c r="M145" s="2">
        <v>0.50389044506691516</v>
      </c>
      <c r="N145" s="2">
        <v>0.55701680672268872</v>
      </c>
      <c r="O145" s="2">
        <v>0.52467532467532429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5"/>
      <c r="BF145" s="5"/>
      <c r="BG145" s="5"/>
      <c r="BH145" s="5"/>
    </row>
    <row r="146" spans="1:73" x14ac:dyDescent="0.25">
      <c r="A146" s="27">
        <v>43903</v>
      </c>
      <c r="B146" s="5"/>
      <c r="C146" s="5"/>
      <c r="D146" s="22"/>
      <c r="E146" s="37"/>
      <c r="F146" s="22"/>
      <c r="G146" s="22"/>
      <c r="I146" s="16">
        <v>31536000</v>
      </c>
      <c r="J146" s="16">
        <v>47304000</v>
      </c>
      <c r="K146" s="16">
        <v>63072000</v>
      </c>
      <c r="L146" s="16">
        <v>78840000</v>
      </c>
      <c r="M146" s="16">
        <v>94608000</v>
      </c>
      <c r="N146" s="16">
        <v>110376000</v>
      </c>
      <c r="O146" s="16">
        <v>126144000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5"/>
      <c r="BF146" s="5"/>
      <c r="BG146" s="5"/>
      <c r="BH146" s="5"/>
    </row>
    <row r="147" spans="1:73" x14ac:dyDescent="0.25">
      <c r="A147" s="27">
        <v>43903</v>
      </c>
      <c r="B147" s="5" t="s">
        <v>295</v>
      </c>
      <c r="C147" s="5" t="s">
        <v>164</v>
      </c>
      <c r="D147" s="22">
        <v>2020</v>
      </c>
      <c r="E147" s="37">
        <v>2</v>
      </c>
      <c r="F147" s="22" t="s">
        <v>433</v>
      </c>
      <c r="G147" s="22" t="s">
        <v>420</v>
      </c>
      <c r="H147" s="26" t="s">
        <v>297</v>
      </c>
      <c r="I147" s="2">
        <v>0.61089743589743573</v>
      </c>
      <c r="J147" s="2">
        <v>0.48548717948717912</v>
      </c>
      <c r="K147" s="2">
        <v>0.44086538461538405</v>
      </c>
      <c r="L147" s="2">
        <v>0.52512019230769191</v>
      </c>
      <c r="M147" s="2">
        <v>0.44838556505223143</v>
      </c>
      <c r="N147" s="2">
        <v>0.49615384615384589</v>
      </c>
      <c r="O147" s="2">
        <v>0.48438228438228398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5"/>
      <c r="BF147" s="5"/>
      <c r="BG147" s="5"/>
      <c r="BH147" s="5"/>
    </row>
    <row r="148" spans="1:73" x14ac:dyDescent="0.25">
      <c r="A148" s="27">
        <v>43903</v>
      </c>
      <c r="B148" s="5"/>
      <c r="C148" s="5"/>
      <c r="D148" s="22"/>
      <c r="E148" s="37"/>
      <c r="F148" s="22"/>
      <c r="G148" s="22"/>
      <c r="I148" s="16">
        <v>31536000</v>
      </c>
      <c r="J148" s="16">
        <v>47304000</v>
      </c>
      <c r="K148" s="16">
        <v>63072000</v>
      </c>
      <c r="L148" s="16">
        <v>78840000</v>
      </c>
      <c r="M148" s="16">
        <v>94608000</v>
      </c>
      <c r="N148" s="16">
        <v>110376000</v>
      </c>
      <c r="O148" s="16">
        <v>126144000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5"/>
      <c r="BF148" s="5"/>
      <c r="BG148" s="5"/>
      <c r="BH148" s="5"/>
    </row>
    <row r="149" spans="1:73" x14ac:dyDescent="0.25">
      <c r="A149" s="27">
        <v>43903</v>
      </c>
      <c r="B149" s="5" t="s">
        <v>295</v>
      </c>
      <c r="C149" s="5" t="s">
        <v>164</v>
      </c>
      <c r="D149" s="22">
        <v>2020</v>
      </c>
      <c r="E149" s="37">
        <v>2</v>
      </c>
      <c r="F149" s="22" t="s">
        <v>433</v>
      </c>
      <c r="G149" s="22" t="s">
        <v>464</v>
      </c>
      <c r="H149" s="26" t="s">
        <v>297</v>
      </c>
      <c r="I149" s="2">
        <v>0.64407894736842075</v>
      </c>
      <c r="J149" s="2">
        <v>0.57732456140350841</v>
      </c>
      <c r="K149" s="2">
        <v>0.55587536549707572</v>
      </c>
      <c r="L149" s="2">
        <v>0.60125411184210475</v>
      </c>
      <c r="M149" s="2">
        <v>0.57253086419753052</v>
      </c>
      <c r="N149" s="2">
        <v>0.58168859649122762</v>
      </c>
      <c r="O149" s="2">
        <v>0.55462519936204124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5"/>
      <c r="BF149" s="5"/>
      <c r="BG149" s="5"/>
      <c r="BH149" s="5"/>
    </row>
    <row r="150" spans="1:73" x14ac:dyDescent="0.25">
      <c r="A150" s="27">
        <v>43903</v>
      </c>
      <c r="B150" s="5"/>
      <c r="C150" s="5"/>
      <c r="D150" s="22"/>
      <c r="E150" s="37"/>
      <c r="F150" s="22"/>
      <c r="G150" s="22"/>
      <c r="I150" s="16">
        <v>31536000</v>
      </c>
      <c r="J150" s="16">
        <v>47304000</v>
      </c>
      <c r="K150" s="16">
        <v>63072000</v>
      </c>
      <c r="L150" s="16">
        <v>78840000</v>
      </c>
      <c r="M150" s="16">
        <v>94608000</v>
      </c>
      <c r="N150" s="16">
        <v>110376000</v>
      </c>
      <c r="O150" s="16">
        <v>126144000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5"/>
      <c r="BF150" s="5"/>
      <c r="BG150" s="5"/>
      <c r="BH150" s="5"/>
    </row>
    <row r="151" spans="1:73" x14ac:dyDescent="0.25">
      <c r="A151" s="27">
        <v>43903</v>
      </c>
      <c r="B151" s="5" t="s">
        <v>295</v>
      </c>
      <c r="C151" s="5" t="s">
        <v>164</v>
      </c>
      <c r="D151" s="22">
        <v>2020</v>
      </c>
      <c r="E151" s="37">
        <v>2</v>
      </c>
      <c r="F151" s="22" t="s">
        <v>433</v>
      </c>
      <c r="G151" s="22" t="s">
        <v>424</v>
      </c>
      <c r="H151" s="26" t="s">
        <v>297</v>
      </c>
      <c r="I151" s="2">
        <v>0.49855769230769198</v>
      </c>
      <c r="J151" s="2">
        <v>0.37162087912087871</v>
      </c>
      <c r="K151" s="2">
        <v>0.40230082417582363</v>
      </c>
      <c r="L151" s="2">
        <v>0.4014208447802195</v>
      </c>
      <c r="M151" s="2">
        <v>0.39285714285714246</v>
      </c>
      <c r="N151" s="2">
        <v>0.36858974358974322</v>
      </c>
      <c r="O151" s="2">
        <v>0.42064185814185767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5"/>
      <c r="BF151" s="5"/>
      <c r="BG151" s="5"/>
      <c r="BH151" s="5"/>
    </row>
    <row r="152" spans="1:73" x14ac:dyDescent="0.25">
      <c r="A152" s="27">
        <v>43903</v>
      </c>
      <c r="B152" s="5"/>
      <c r="C152" s="5"/>
      <c r="D152" s="22"/>
      <c r="E152" s="37"/>
      <c r="F152" s="22"/>
      <c r="G152" s="22"/>
      <c r="I152" s="16">
        <v>31536000</v>
      </c>
      <c r="J152" s="16">
        <v>47304000</v>
      </c>
      <c r="K152" s="16">
        <v>63072000</v>
      </c>
      <c r="L152" s="16">
        <v>78840000</v>
      </c>
      <c r="M152" s="16">
        <v>94608000</v>
      </c>
      <c r="N152" s="16">
        <v>110376000</v>
      </c>
      <c r="O152" s="16">
        <v>126144000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5"/>
      <c r="BF152" s="5"/>
      <c r="BG152" s="5"/>
      <c r="BH152" s="5"/>
    </row>
    <row r="153" spans="1:73" x14ac:dyDescent="0.25">
      <c r="A153" s="27">
        <v>43903</v>
      </c>
      <c r="B153" s="5" t="s">
        <v>295</v>
      </c>
      <c r="C153" s="5" t="s">
        <v>164</v>
      </c>
      <c r="D153" s="22">
        <v>2020</v>
      </c>
      <c r="E153" s="37">
        <v>2</v>
      </c>
      <c r="F153" s="22" t="s">
        <v>433</v>
      </c>
      <c r="G153" s="22" t="s">
        <v>495</v>
      </c>
      <c r="H153" s="26" t="s">
        <v>297</v>
      </c>
      <c r="I153" s="2">
        <v>0.3807692307692303</v>
      </c>
      <c r="J153" s="2">
        <v>0.34743589743589703</v>
      </c>
      <c r="K153" s="2">
        <v>0.36939102564102533</v>
      </c>
      <c r="L153" s="2">
        <v>0.34515224358974317</v>
      </c>
      <c r="M153" s="2">
        <v>0.29226020892687515</v>
      </c>
      <c r="N153" s="2">
        <v>0.32959401709401687</v>
      </c>
      <c r="O153" s="2">
        <v>0.29137529137529095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5"/>
      <c r="BF153" s="5"/>
      <c r="BG153" s="5"/>
      <c r="BH153" s="5"/>
    </row>
    <row r="154" spans="1:73" x14ac:dyDescent="0.25">
      <c r="A154" s="27">
        <v>43903</v>
      </c>
      <c r="B154" s="5"/>
      <c r="C154" s="5"/>
      <c r="D154" s="22"/>
      <c r="E154" s="37"/>
      <c r="F154" s="22"/>
      <c r="G154" s="22"/>
      <c r="I154" s="16">
        <v>31536000</v>
      </c>
      <c r="J154" s="16">
        <v>47304000</v>
      </c>
      <c r="K154" s="16">
        <v>63072000</v>
      </c>
      <c r="L154" s="16">
        <v>78840000</v>
      </c>
      <c r="M154" s="16">
        <v>94608000</v>
      </c>
      <c r="N154" s="16">
        <v>110376000</v>
      </c>
      <c r="O154" s="16">
        <v>126144000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5"/>
      <c r="BF154" s="5"/>
      <c r="BG154" s="5"/>
      <c r="BH154" s="5"/>
    </row>
    <row r="155" spans="1:73" x14ac:dyDescent="0.25">
      <c r="A155" s="27">
        <v>43903</v>
      </c>
      <c r="B155" s="5" t="s">
        <v>295</v>
      </c>
      <c r="C155" s="5" t="s">
        <v>164</v>
      </c>
      <c r="D155" s="22">
        <v>2020</v>
      </c>
      <c r="E155" s="37">
        <v>2</v>
      </c>
      <c r="F155" s="22" t="s">
        <v>433</v>
      </c>
      <c r="G155" s="22" t="s">
        <v>496</v>
      </c>
      <c r="H155" s="26" t="s">
        <v>297</v>
      </c>
      <c r="I155" s="2">
        <v>0.38333333333333297</v>
      </c>
      <c r="J155" s="2">
        <v>0.28999999999999976</v>
      </c>
      <c r="K155" s="2">
        <v>0.26388888888888856</v>
      </c>
      <c r="L155" s="2">
        <v>0.25260416666666641</v>
      </c>
      <c r="M155" s="2">
        <v>0.25617283950617253</v>
      </c>
      <c r="N155" s="2">
        <v>0.26388888888888856</v>
      </c>
      <c r="O155" s="2">
        <v>0.2575757575757574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5"/>
      <c r="BF155" s="5"/>
      <c r="BG155" s="5"/>
      <c r="BH155" s="5"/>
    </row>
    <row r="156" spans="1:73" x14ac:dyDescent="0.25">
      <c r="A156" s="27">
        <v>43903</v>
      </c>
      <c r="B156" s="5"/>
      <c r="C156" s="5"/>
      <c r="D156" s="22"/>
      <c r="E156" s="37"/>
      <c r="F156" s="22"/>
      <c r="G156" s="22"/>
      <c r="I156" s="16">
        <v>31536000</v>
      </c>
      <c r="J156" s="16">
        <v>47304000</v>
      </c>
      <c r="K156" s="16">
        <v>63072000</v>
      </c>
      <c r="L156" s="16">
        <v>78840000</v>
      </c>
      <c r="M156" s="16">
        <v>94608000</v>
      </c>
      <c r="N156" s="16">
        <v>110376000</v>
      </c>
      <c r="O156" s="16">
        <v>126144000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5"/>
      <c r="BF156" s="5"/>
      <c r="BG156" s="5"/>
      <c r="BH156" s="5"/>
    </row>
    <row r="157" spans="1:73" x14ac:dyDescent="0.25">
      <c r="A157" s="27">
        <v>43903</v>
      </c>
      <c r="B157" s="5" t="s">
        <v>295</v>
      </c>
      <c r="C157" s="5" t="s">
        <v>164</v>
      </c>
      <c r="D157" s="22">
        <v>2020</v>
      </c>
      <c r="E157" s="37">
        <v>2</v>
      </c>
      <c r="F157" s="22" t="s">
        <v>433</v>
      </c>
      <c r="G157" s="22" t="s">
        <v>476</v>
      </c>
      <c r="H157" s="26" t="s">
        <v>297</v>
      </c>
      <c r="I157" s="2">
        <v>0.5142857142857139</v>
      </c>
      <c r="J157" s="2">
        <v>0.38857142857142818</v>
      </c>
      <c r="K157" s="2">
        <v>0.43005952380952345</v>
      </c>
      <c r="L157" s="2">
        <v>0.35491071428571397</v>
      </c>
      <c r="M157" s="2">
        <v>0.38403880070546703</v>
      </c>
      <c r="N157" s="2">
        <v>0.42261904761904728</v>
      </c>
      <c r="O157" s="2">
        <v>0.40367965367965331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5"/>
      <c r="BF157" s="5"/>
      <c r="BG157" s="5"/>
      <c r="BH157" s="5"/>
    </row>
    <row r="158" spans="1:73" x14ac:dyDescent="0.25">
      <c r="A158" s="27">
        <v>43903</v>
      </c>
      <c r="B158" s="5"/>
      <c r="C158" s="5"/>
      <c r="D158" s="22"/>
      <c r="E158" s="37"/>
      <c r="F158" s="22"/>
      <c r="G158" s="22"/>
      <c r="I158" s="16">
        <v>31536000</v>
      </c>
      <c r="J158" s="16">
        <v>47304000</v>
      </c>
      <c r="K158" s="16">
        <v>63072000</v>
      </c>
      <c r="L158" s="16">
        <v>78840000</v>
      </c>
      <c r="M158" s="16">
        <v>94608000</v>
      </c>
      <c r="N158" s="16">
        <v>110376000</v>
      </c>
      <c r="O158" s="16">
        <v>126144000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5"/>
      <c r="BF158" s="5"/>
      <c r="BG158" s="5"/>
      <c r="BH158" s="5"/>
    </row>
    <row r="159" spans="1:73" x14ac:dyDescent="0.25">
      <c r="A159" s="27">
        <v>43903</v>
      </c>
      <c r="B159" s="5" t="s">
        <v>295</v>
      </c>
      <c r="C159" s="5" t="s">
        <v>164</v>
      </c>
      <c r="D159" s="22">
        <v>2020</v>
      </c>
      <c r="E159" s="37">
        <v>2</v>
      </c>
      <c r="F159" s="22" t="s">
        <v>433</v>
      </c>
      <c r="G159" s="22" t="s">
        <v>497</v>
      </c>
      <c r="H159" s="26" t="s">
        <v>297</v>
      </c>
      <c r="I159" s="2">
        <v>0.59780219780219745</v>
      </c>
      <c r="J159" s="2">
        <v>0.46212454212454168</v>
      </c>
      <c r="K159" s="2">
        <v>0.42999084249084202</v>
      </c>
      <c r="L159" s="2">
        <v>0.4979567307692303</v>
      </c>
      <c r="M159" s="2">
        <v>0.44847374847374799</v>
      </c>
      <c r="N159" s="2">
        <v>0.48069291819291765</v>
      </c>
      <c r="O159" s="2">
        <v>0.46232101232101203</v>
      </c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5"/>
      <c r="BF159" s="5"/>
      <c r="BG159" s="5"/>
      <c r="BH159" s="5"/>
    </row>
    <row r="160" spans="1:73" x14ac:dyDescent="0.25">
      <c r="A160" s="30">
        <v>43509</v>
      </c>
      <c r="B160" s="32"/>
      <c r="C160" s="32"/>
      <c r="D160" s="31"/>
      <c r="E160" s="44"/>
      <c r="F160" s="31"/>
      <c r="G160" s="31"/>
      <c r="H160" s="31"/>
      <c r="I160" s="33">
        <v>30</v>
      </c>
      <c r="J160" s="33">
        <f>19*60</f>
        <v>1140</v>
      </c>
      <c r="K160" s="33">
        <f>63*60</f>
        <v>3780</v>
      </c>
      <c r="L160" s="33">
        <f>525*60</f>
        <v>31500</v>
      </c>
      <c r="M160" s="33">
        <f>24*60*60</f>
        <v>86400</v>
      </c>
      <c r="N160" s="33">
        <f>2*24*60*60</f>
        <v>172800</v>
      </c>
      <c r="O160" s="33">
        <f>6*24*60*60</f>
        <v>518400</v>
      </c>
      <c r="P160" s="33">
        <f>31*24*60*60</f>
        <v>2678400</v>
      </c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"/>
      <c r="BF160" s="1"/>
      <c r="BG160" s="1"/>
      <c r="BH160" s="1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</row>
    <row r="161" spans="1:73" x14ac:dyDescent="0.25">
      <c r="A161" s="30">
        <v>43509</v>
      </c>
      <c r="B161" s="32" t="s">
        <v>87</v>
      </c>
      <c r="C161" s="32" t="s">
        <v>81</v>
      </c>
      <c r="D161" s="31">
        <v>1885</v>
      </c>
      <c r="E161" s="44">
        <v>1</v>
      </c>
      <c r="F161" s="43" t="s">
        <v>150</v>
      </c>
      <c r="G161" s="31"/>
      <c r="H161" s="31" t="s">
        <v>174</v>
      </c>
      <c r="I161" s="35">
        <v>1</v>
      </c>
      <c r="J161" s="35">
        <v>0.58199999999999996</v>
      </c>
      <c r="K161" s="35">
        <v>0.442</v>
      </c>
      <c r="L161" s="35">
        <v>0.35799999999999998</v>
      </c>
      <c r="M161" s="35">
        <v>0.33700000000000002</v>
      </c>
      <c r="N161" s="35">
        <v>0.27800000000000002</v>
      </c>
      <c r="O161" s="35">
        <v>0.254</v>
      </c>
      <c r="P161" s="35">
        <v>0.21099999999999999</v>
      </c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"/>
      <c r="BF161" s="1"/>
      <c r="BG161" s="1"/>
      <c r="BH161" s="1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</row>
    <row r="162" spans="1:73" x14ac:dyDescent="0.25">
      <c r="A162" s="27">
        <v>43509</v>
      </c>
      <c r="B162" s="1"/>
      <c r="C162" s="1"/>
      <c r="D162" s="23"/>
      <c r="E162" s="38"/>
      <c r="F162" s="23"/>
      <c r="G162" s="23"/>
      <c r="H162" s="23"/>
      <c r="I162" s="12">
        <f>365*24*60*60*3</f>
        <v>94608000</v>
      </c>
      <c r="J162" s="12">
        <f>365*24*60*60*4</f>
        <v>126144000</v>
      </c>
      <c r="K162" s="12">
        <f>365*24*60*60*5</f>
        <v>157680000</v>
      </c>
      <c r="L162" s="12">
        <f>365*24*60*60*6</f>
        <v>189216000</v>
      </c>
      <c r="M162" s="12">
        <f>365*24*60*60*7</f>
        <v>220752000</v>
      </c>
      <c r="N162" s="12">
        <f>365*24*60*60*8</f>
        <v>252288000</v>
      </c>
      <c r="O162" s="12">
        <f>365*24*60*60*9</f>
        <v>283824000</v>
      </c>
      <c r="P162" s="12">
        <f>365*24*60*60*10</f>
        <v>315360000</v>
      </c>
      <c r="Q162" s="12">
        <f>365*24*60*60*11</f>
        <v>346896000</v>
      </c>
      <c r="R162" s="12">
        <f>365*24*60*60*12</f>
        <v>378432000</v>
      </c>
      <c r="S162" s="12">
        <f>365*24*60*60*13</f>
        <v>409968000</v>
      </c>
      <c r="T162" s="12">
        <f>365*24*60*60*14</f>
        <v>441504000</v>
      </c>
      <c r="U162" s="12">
        <f>365*24*60*60*15</f>
        <v>473040000</v>
      </c>
      <c r="V162" s="12">
        <f>365*24*60*60*16</f>
        <v>504576000</v>
      </c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"/>
      <c r="BF162" s="1"/>
      <c r="BG162" s="1"/>
      <c r="BH162" s="1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</row>
    <row r="163" spans="1:73" x14ac:dyDescent="0.25">
      <c r="A163" s="27">
        <v>43509</v>
      </c>
      <c r="B163" s="1" t="s">
        <v>134</v>
      </c>
      <c r="C163" s="1" t="s">
        <v>135</v>
      </c>
      <c r="D163" s="23">
        <v>1998</v>
      </c>
      <c r="E163" s="38">
        <v>1</v>
      </c>
      <c r="F163" s="23" t="s">
        <v>32</v>
      </c>
      <c r="G163" s="23" t="s">
        <v>394</v>
      </c>
      <c r="H163" s="23" t="s">
        <v>370</v>
      </c>
      <c r="I163" s="18">
        <v>0.48</v>
      </c>
      <c r="J163" s="18">
        <v>0.42399999999999999</v>
      </c>
      <c r="K163" s="18">
        <v>0.36099999999999999</v>
      </c>
      <c r="L163" s="18">
        <v>0.34499999999999997</v>
      </c>
      <c r="M163" s="18">
        <v>0.30299999999999999</v>
      </c>
      <c r="N163" s="18">
        <v>0.32400000000000001</v>
      </c>
      <c r="O163" s="18">
        <v>0.29199999999999998</v>
      </c>
      <c r="P163" s="18">
        <v>0.27600000000000002</v>
      </c>
      <c r="Q163" s="18">
        <v>0.28599999999999998</v>
      </c>
      <c r="R163" s="18">
        <v>0.27900000000000003</v>
      </c>
      <c r="S163" s="18">
        <v>0.23200000000000001</v>
      </c>
      <c r="T163" s="18">
        <v>0.29699999999999999</v>
      </c>
      <c r="U163" s="18">
        <v>0.23200000000000001</v>
      </c>
      <c r="V163" s="18">
        <v>0.25900000000000001</v>
      </c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"/>
      <c r="BF163" s="1"/>
      <c r="BG163" s="1"/>
      <c r="BH163" s="1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</row>
    <row r="164" spans="1:73" x14ac:dyDescent="0.25">
      <c r="A164" s="27">
        <v>43509</v>
      </c>
      <c r="B164" s="1"/>
      <c r="C164" s="1"/>
      <c r="D164" s="23"/>
      <c r="E164" s="38"/>
      <c r="F164" s="23"/>
      <c r="G164" s="23"/>
      <c r="H164" s="23"/>
      <c r="I164" s="12">
        <f>365*24*60*60*3</f>
        <v>94608000</v>
      </c>
      <c r="J164" s="12">
        <f>365*24*60*60*4</f>
        <v>126144000</v>
      </c>
      <c r="K164" s="12">
        <f>365*24*60*60*5</f>
        <v>157680000</v>
      </c>
      <c r="L164" s="12">
        <f>365*24*60*60*6</f>
        <v>189216000</v>
      </c>
      <c r="M164" s="12">
        <f>365*24*60*60*7</f>
        <v>220752000</v>
      </c>
      <c r="N164" s="12">
        <f>365*24*60*60*8</f>
        <v>252288000</v>
      </c>
      <c r="O164" s="12">
        <f>365*24*60*60*9</f>
        <v>283824000</v>
      </c>
      <c r="P164" s="12">
        <f>365*24*60*60*10</f>
        <v>315360000</v>
      </c>
      <c r="Q164" s="12">
        <f>365*24*60*60*11</f>
        <v>346896000</v>
      </c>
      <c r="R164" s="12">
        <f>365*24*60*60*12</f>
        <v>378432000</v>
      </c>
      <c r="S164" s="12">
        <f>365*24*60*60*13</f>
        <v>409968000</v>
      </c>
      <c r="T164" s="12">
        <f>365*24*60*60*14</f>
        <v>441504000</v>
      </c>
      <c r="U164" s="12">
        <f>365*24*60*60*15</f>
        <v>473040000</v>
      </c>
      <c r="V164" s="12">
        <f>365*24*60*60*16</f>
        <v>504576000</v>
      </c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"/>
      <c r="BF164" s="1"/>
      <c r="BG164" s="1"/>
      <c r="BH164" s="1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</row>
    <row r="165" spans="1:73" x14ac:dyDescent="0.25">
      <c r="A165" s="27">
        <v>43509</v>
      </c>
      <c r="B165" s="1" t="s">
        <v>134</v>
      </c>
      <c r="C165" s="1" t="s">
        <v>135</v>
      </c>
      <c r="D165" s="23">
        <v>1998</v>
      </c>
      <c r="E165" s="38">
        <v>1</v>
      </c>
      <c r="F165" s="23" t="s">
        <v>32</v>
      </c>
      <c r="G165" s="23" t="s">
        <v>395</v>
      </c>
      <c r="H165" s="23" t="s">
        <v>370</v>
      </c>
      <c r="I165" s="18">
        <v>0.31900000000000001</v>
      </c>
      <c r="J165" s="18">
        <v>0.23499999999999999</v>
      </c>
      <c r="K165" s="18">
        <v>0.22500000000000001</v>
      </c>
      <c r="L165" s="18">
        <v>0.224</v>
      </c>
      <c r="M165" s="18">
        <v>0.25900000000000001</v>
      </c>
      <c r="N165" s="18">
        <v>0.108</v>
      </c>
      <c r="O165" s="18">
        <v>0.17199999999999999</v>
      </c>
      <c r="P165" s="18">
        <v>0.18</v>
      </c>
      <c r="Q165" s="18">
        <v>0.217</v>
      </c>
      <c r="R165" s="18">
        <v>0.14299999999999999</v>
      </c>
      <c r="S165" s="18">
        <v>0.21099999999999999</v>
      </c>
      <c r="T165" s="18">
        <v>0.193</v>
      </c>
      <c r="U165" s="18">
        <v>0.113</v>
      </c>
      <c r="V165" s="18">
        <v>0.14199999999999999</v>
      </c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"/>
      <c r="BF165" s="1"/>
      <c r="BG165" s="1"/>
      <c r="BH165" s="1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</row>
    <row r="166" spans="1:73" x14ac:dyDescent="0.25">
      <c r="A166" s="30">
        <v>43509</v>
      </c>
      <c r="B166" s="32"/>
      <c r="C166" s="32"/>
      <c r="D166" s="31"/>
      <c r="E166" s="44"/>
      <c r="F166" s="31"/>
      <c r="G166" s="31"/>
      <c r="H166" s="31"/>
      <c r="I166" s="33">
        <f>30*60</f>
        <v>1800</v>
      </c>
      <c r="J166" s="33">
        <f>60*60</f>
        <v>3600</v>
      </c>
      <c r="K166" s="33">
        <f>2*60*60</f>
        <v>7200</v>
      </c>
      <c r="L166" s="33">
        <f>4*60*60</f>
        <v>14400</v>
      </c>
      <c r="M166" s="33">
        <f>8*60*60</f>
        <v>28800</v>
      </c>
      <c r="N166" s="33">
        <f>12*60*60</f>
        <v>43200</v>
      </c>
      <c r="O166" s="33">
        <f>16*60*60</f>
        <v>57600</v>
      </c>
      <c r="P166" s="33">
        <f>24*60*60</f>
        <v>86400</v>
      </c>
      <c r="Q166" s="33">
        <f>36*60*60</f>
        <v>129600</v>
      </c>
      <c r="R166" s="33">
        <f>48*60*60</f>
        <v>172800</v>
      </c>
      <c r="S166" s="33">
        <v>172800</v>
      </c>
      <c r="T166" s="33">
        <v>259200</v>
      </c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"/>
      <c r="BF166" s="1"/>
      <c r="BG166" s="1"/>
      <c r="BH166" s="1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</row>
    <row r="167" spans="1:73" x14ac:dyDescent="0.25">
      <c r="A167" s="30">
        <v>43509</v>
      </c>
      <c r="B167" s="32" t="s">
        <v>65</v>
      </c>
      <c r="C167" s="32" t="s">
        <v>56</v>
      </c>
      <c r="D167" s="31">
        <v>1913</v>
      </c>
      <c r="E167" s="44">
        <v>1</v>
      </c>
      <c r="F167" s="31" t="s">
        <v>24</v>
      </c>
      <c r="G167" s="31"/>
      <c r="H167" s="31" t="s">
        <v>174</v>
      </c>
      <c r="I167" s="35">
        <v>1</v>
      </c>
      <c r="J167" s="35">
        <v>0.75</v>
      </c>
      <c r="K167" s="35">
        <v>0.72799999999999998</v>
      </c>
      <c r="L167" s="35">
        <v>0.69399999999999995</v>
      </c>
      <c r="M167" s="35">
        <v>0.66400000000000003</v>
      </c>
      <c r="N167" s="35">
        <v>0.65500000000000003</v>
      </c>
      <c r="O167" s="35">
        <v>0.63800000000000001</v>
      </c>
      <c r="P167" s="35">
        <v>0.63</v>
      </c>
      <c r="Q167" s="35">
        <v>0.57799999999999996</v>
      </c>
      <c r="R167" s="35">
        <v>0.58799999999999997</v>
      </c>
      <c r="S167" s="35">
        <v>0.55500000000000005</v>
      </c>
      <c r="T167" s="35">
        <v>0.52100000000000002</v>
      </c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"/>
      <c r="BF167" s="1"/>
      <c r="BG167" s="1"/>
      <c r="BH167" s="1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</row>
    <row r="168" spans="1:73" x14ac:dyDescent="0.25">
      <c r="A168" s="30">
        <v>43903</v>
      </c>
      <c r="B168" s="29"/>
      <c r="C168" s="29"/>
      <c r="D168" s="43"/>
      <c r="E168" s="44"/>
      <c r="F168" s="31"/>
      <c r="G168" s="31"/>
      <c r="H168" s="31"/>
      <c r="I168" s="33">
        <v>60</v>
      </c>
      <c r="J168" s="33">
        <v>86400</v>
      </c>
      <c r="K168" s="33">
        <v>259200</v>
      </c>
      <c r="L168" s="33">
        <v>604800</v>
      </c>
      <c r="M168" s="33">
        <v>864000</v>
      </c>
      <c r="N168" s="33">
        <v>1209600</v>
      </c>
      <c r="O168" s="14" t="s">
        <v>311</v>
      </c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"/>
      <c r="BF168" s="1"/>
      <c r="BG168" s="1"/>
      <c r="BH168" s="1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</row>
    <row r="169" spans="1:73" x14ac:dyDescent="0.25">
      <c r="A169" s="30">
        <v>43903</v>
      </c>
      <c r="B169" s="32" t="s">
        <v>290</v>
      </c>
      <c r="C169" s="32" t="s">
        <v>291</v>
      </c>
      <c r="D169" s="31">
        <v>2020</v>
      </c>
      <c r="E169" s="44">
        <v>1</v>
      </c>
      <c r="F169" s="31"/>
      <c r="G169" s="31" t="s">
        <v>389</v>
      </c>
      <c r="H169" s="31" t="s">
        <v>292</v>
      </c>
      <c r="I169" s="35">
        <v>0.7997685185185186</v>
      </c>
      <c r="J169" s="35">
        <v>0.67129629629629628</v>
      </c>
      <c r="K169" s="35">
        <v>0.60763888888888895</v>
      </c>
      <c r="L169" s="35">
        <v>0.60995370370370372</v>
      </c>
      <c r="M169" s="35">
        <v>0.55671296296296313</v>
      </c>
      <c r="N169" s="35">
        <v>0.57754629629629617</v>
      </c>
      <c r="O169" s="14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"/>
      <c r="BF169" s="1"/>
      <c r="BG169" s="1"/>
      <c r="BH169" s="1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</row>
    <row r="170" spans="1:73" x14ac:dyDescent="0.25">
      <c r="A170" s="30">
        <v>43903</v>
      </c>
      <c r="B170" s="29"/>
      <c r="C170" s="29"/>
      <c r="D170" s="43"/>
      <c r="E170" s="44"/>
      <c r="F170" s="31"/>
      <c r="G170" s="31"/>
      <c r="H170" s="31"/>
      <c r="I170" s="33">
        <v>60</v>
      </c>
      <c r="J170" s="33">
        <v>86400</v>
      </c>
      <c r="K170" s="33">
        <v>259200</v>
      </c>
      <c r="L170" s="33">
        <v>604800</v>
      </c>
      <c r="M170" s="33">
        <v>864000</v>
      </c>
      <c r="N170" s="33">
        <v>1209600</v>
      </c>
      <c r="O170" s="14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"/>
      <c r="BF170" s="1"/>
      <c r="BG170" s="1"/>
      <c r="BH170" s="1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</row>
    <row r="171" spans="1:73" x14ac:dyDescent="0.25">
      <c r="A171" s="30">
        <v>43903</v>
      </c>
      <c r="B171" s="32" t="s">
        <v>290</v>
      </c>
      <c r="C171" s="32" t="s">
        <v>291</v>
      </c>
      <c r="D171" s="31">
        <v>2020</v>
      </c>
      <c r="E171" s="44">
        <v>1</v>
      </c>
      <c r="F171" s="31"/>
      <c r="G171" s="31" t="s">
        <v>402</v>
      </c>
      <c r="H171" s="31" t="s">
        <v>292</v>
      </c>
      <c r="I171" s="35">
        <v>0.90509259259259256</v>
      </c>
      <c r="J171" s="35">
        <v>0.86689814814814825</v>
      </c>
      <c r="K171" s="35">
        <v>0.75115740740740744</v>
      </c>
      <c r="L171" s="35">
        <v>0.76504629629629617</v>
      </c>
      <c r="M171" s="35">
        <v>0.69791666666666663</v>
      </c>
      <c r="N171" s="35">
        <v>0.64236111111111105</v>
      </c>
      <c r="O171" s="14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"/>
      <c r="BF171" s="1"/>
      <c r="BG171" s="1"/>
      <c r="BH171" s="1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</row>
    <row r="172" spans="1:73" x14ac:dyDescent="0.25">
      <c r="A172" s="30">
        <v>43903</v>
      </c>
      <c r="B172" s="29"/>
      <c r="C172" s="29"/>
      <c r="D172" s="43"/>
      <c r="E172" s="44"/>
      <c r="F172" s="31"/>
      <c r="G172" s="31"/>
      <c r="H172" s="31"/>
      <c r="I172" s="33">
        <v>60</v>
      </c>
      <c r="J172" s="33">
        <v>86400</v>
      </c>
      <c r="K172" s="33">
        <v>259200</v>
      </c>
      <c r="L172" s="33">
        <v>604800</v>
      </c>
      <c r="M172" s="33">
        <v>864000</v>
      </c>
      <c r="N172" s="33">
        <v>1209600</v>
      </c>
      <c r="O172" s="14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"/>
      <c r="BF172" s="1"/>
      <c r="BG172" s="1"/>
      <c r="BH172" s="1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</row>
    <row r="173" spans="1:73" x14ac:dyDescent="0.25">
      <c r="A173" s="30">
        <v>43903</v>
      </c>
      <c r="B173" s="32" t="s">
        <v>290</v>
      </c>
      <c r="C173" s="32" t="s">
        <v>291</v>
      </c>
      <c r="D173" s="31">
        <v>2020</v>
      </c>
      <c r="E173" s="44">
        <v>1</v>
      </c>
      <c r="F173" s="31"/>
      <c r="G173" s="31" t="s">
        <v>403</v>
      </c>
      <c r="H173" s="31" t="s">
        <v>292</v>
      </c>
      <c r="I173" s="35">
        <v>0.97106481481481455</v>
      </c>
      <c r="J173" s="35">
        <v>0.94444444444444431</v>
      </c>
      <c r="K173" s="35">
        <v>0.90856481481481477</v>
      </c>
      <c r="L173" s="35">
        <v>0.84027777777777779</v>
      </c>
      <c r="M173" s="35">
        <v>0.81481481481481488</v>
      </c>
      <c r="N173" s="35">
        <v>0.78703703703703687</v>
      </c>
      <c r="O173" s="14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"/>
      <c r="BF173" s="1"/>
      <c r="BG173" s="1"/>
      <c r="BH173" s="1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</row>
    <row r="174" spans="1:73" x14ac:dyDescent="0.25">
      <c r="A174" s="30">
        <v>43903</v>
      </c>
      <c r="B174" s="29"/>
      <c r="C174" s="29"/>
      <c r="D174" s="43"/>
      <c r="E174" s="44"/>
      <c r="F174" s="31"/>
      <c r="G174" s="31"/>
      <c r="H174" s="31"/>
      <c r="I174" s="33">
        <v>60</v>
      </c>
      <c r="J174" s="33">
        <v>86400</v>
      </c>
      <c r="K174" s="33">
        <v>259200</v>
      </c>
      <c r="L174" s="33">
        <v>604800</v>
      </c>
      <c r="M174" s="33">
        <v>864000</v>
      </c>
      <c r="N174" s="33">
        <v>1209600</v>
      </c>
      <c r="O174" s="14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"/>
      <c r="BF174" s="1"/>
      <c r="BG174" s="1"/>
      <c r="BH174" s="1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</row>
    <row r="175" spans="1:73" x14ac:dyDescent="0.25">
      <c r="A175" s="30">
        <v>43903</v>
      </c>
      <c r="B175" s="32" t="s">
        <v>290</v>
      </c>
      <c r="C175" s="32" t="s">
        <v>291</v>
      </c>
      <c r="D175" s="31">
        <v>2020</v>
      </c>
      <c r="E175" s="44">
        <v>2</v>
      </c>
      <c r="F175" s="31"/>
      <c r="G175" s="31" t="s">
        <v>389</v>
      </c>
      <c r="H175" s="31" t="s">
        <v>292</v>
      </c>
      <c r="I175" s="35">
        <v>0.82754629629629639</v>
      </c>
      <c r="J175" s="35">
        <v>0.62615740740740733</v>
      </c>
      <c r="K175" s="35">
        <v>0.65162037037037046</v>
      </c>
      <c r="L175" s="35">
        <v>0.62268518518518523</v>
      </c>
      <c r="M175" s="35">
        <v>0.60879629629629639</v>
      </c>
      <c r="N175" s="35">
        <v>0.5625</v>
      </c>
      <c r="O175" s="14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"/>
      <c r="BF175" s="1"/>
      <c r="BG175" s="1"/>
      <c r="BH175" s="1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</row>
    <row r="176" spans="1:73" x14ac:dyDescent="0.25">
      <c r="A176" s="30">
        <v>43903</v>
      </c>
      <c r="B176" s="29"/>
      <c r="C176" s="29"/>
      <c r="D176" s="43"/>
      <c r="E176" s="44"/>
      <c r="F176" s="31"/>
      <c r="G176" s="31"/>
      <c r="H176" s="31"/>
      <c r="I176" s="33">
        <v>60</v>
      </c>
      <c r="J176" s="33">
        <v>86400</v>
      </c>
      <c r="K176" s="33">
        <v>259200</v>
      </c>
      <c r="L176" s="33">
        <v>604800</v>
      </c>
      <c r="M176" s="33">
        <v>864000</v>
      </c>
      <c r="N176" s="33">
        <v>1209600</v>
      </c>
      <c r="O176" s="14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"/>
      <c r="BF176" s="1"/>
      <c r="BG176" s="1"/>
      <c r="BH176" s="1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</row>
    <row r="177" spans="1:73" x14ac:dyDescent="0.25">
      <c r="A177" s="30">
        <v>43903</v>
      </c>
      <c r="B177" s="32" t="s">
        <v>290</v>
      </c>
      <c r="C177" s="32" t="s">
        <v>291</v>
      </c>
      <c r="D177" s="31">
        <v>2020</v>
      </c>
      <c r="E177" s="44">
        <v>2</v>
      </c>
      <c r="F177" s="31"/>
      <c r="G177" s="31" t="s">
        <v>405</v>
      </c>
      <c r="H177" s="31" t="s">
        <v>292</v>
      </c>
      <c r="I177" s="35">
        <v>0.80439814814814803</v>
      </c>
      <c r="J177" s="35">
        <v>0.71412037037037013</v>
      </c>
      <c r="K177" s="35">
        <v>0.7002314814814814</v>
      </c>
      <c r="L177" s="35">
        <v>0.63888888888888895</v>
      </c>
      <c r="M177" s="35">
        <v>0.63095238095238082</v>
      </c>
      <c r="N177" s="35">
        <v>0.58101851851851871</v>
      </c>
      <c r="O177" s="14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"/>
      <c r="BF177" s="1"/>
      <c r="BG177" s="1"/>
      <c r="BH177" s="1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</row>
    <row r="178" spans="1:73" x14ac:dyDescent="0.25">
      <c r="A178" s="30">
        <v>43903</v>
      </c>
      <c r="B178" s="29"/>
      <c r="C178" s="29"/>
      <c r="D178" s="43"/>
      <c r="E178" s="44"/>
      <c r="F178" s="31"/>
      <c r="G178" s="31"/>
      <c r="H178" s="31"/>
      <c r="I178" s="33">
        <v>60</v>
      </c>
      <c r="J178" s="33">
        <v>86400</v>
      </c>
      <c r="K178" s="33">
        <v>259200</v>
      </c>
      <c r="L178" s="33">
        <v>604800</v>
      </c>
      <c r="M178" s="33">
        <v>864000</v>
      </c>
      <c r="N178" s="33">
        <v>1209600</v>
      </c>
      <c r="O178" s="14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"/>
      <c r="BF178" s="1"/>
      <c r="BG178" s="1"/>
      <c r="BH178" s="1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</row>
    <row r="179" spans="1:73" x14ac:dyDescent="0.25">
      <c r="A179" s="30">
        <v>43903</v>
      </c>
      <c r="B179" s="32" t="s">
        <v>290</v>
      </c>
      <c r="C179" s="32" t="s">
        <v>291</v>
      </c>
      <c r="D179" s="31">
        <v>2020</v>
      </c>
      <c r="E179" s="44">
        <v>2</v>
      </c>
      <c r="F179" s="31"/>
      <c r="G179" s="31" t="s">
        <v>404</v>
      </c>
      <c r="H179" s="31" t="s">
        <v>292</v>
      </c>
      <c r="I179" s="35">
        <v>0.87384259259259245</v>
      </c>
      <c r="J179" s="35">
        <v>0.74652777777777768</v>
      </c>
      <c r="K179" s="35">
        <v>0.7002314814814814</v>
      </c>
      <c r="L179" s="35">
        <v>0.70486111111111116</v>
      </c>
      <c r="M179" s="35">
        <v>0.68981481481481488</v>
      </c>
      <c r="N179" s="35">
        <v>0.59143518518518545</v>
      </c>
      <c r="O179" s="14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"/>
      <c r="BF179" s="1"/>
      <c r="BG179" s="1"/>
      <c r="BH179" s="1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</row>
    <row r="180" spans="1:73" x14ac:dyDescent="0.25">
      <c r="A180" s="30">
        <v>43509</v>
      </c>
      <c r="B180" s="32"/>
      <c r="C180" s="32"/>
      <c r="D180" s="31"/>
      <c r="E180" s="44"/>
      <c r="F180" s="43"/>
      <c r="G180" s="31"/>
      <c r="H180" s="31"/>
      <c r="I180" s="33">
        <v>60</v>
      </c>
      <c r="J180" s="33">
        <v>86400</v>
      </c>
      <c r="K180" s="33">
        <v>259200</v>
      </c>
      <c r="L180" s="33">
        <v>604800</v>
      </c>
      <c r="M180" s="33">
        <v>1209600</v>
      </c>
      <c r="N180" s="33">
        <v>2419200</v>
      </c>
      <c r="O180" s="33">
        <v>3628800</v>
      </c>
      <c r="P180" s="33">
        <v>4838400</v>
      </c>
      <c r="Q180" s="33">
        <v>7257600</v>
      </c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"/>
      <c r="BF180" s="1"/>
      <c r="BG180" s="1"/>
      <c r="BH180" s="1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</row>
    <row r="181" spans="1:73" x14ac:dyDescent="0.25">
      <c r="A181" s="30">
        <v>43509</v>
      </c>
      <c r="B181" s="32" t="s">
        <v>288</v>
      </c>
      <c r="C181" s="32" t="s">
        <v>71</v>
      </c>
      <c r="D181" s="31">
        <v>2019</v>
      </c>
      <c r="E181" s="44">
        <v>2</v>
      </c>
      <c r="F181" s="31" t="s">
        <v>22</v>
      </c>
      <c r="G181" s="31"/>
      <c r="H181" s="31" t="s">
        <v>292</v>
      </c>
      <c r="I181" s="35">
        <v>1</v>
      </c>
      <c r="J181" s="35">
        <v>0.99</v>
      </c>
      <c r="K181" s="35">
        <v>1</v>
      </c>
      <c r="L181" s="35">
        <v>0.98</v>
      </c>
      <c r="M181" s="35">
        <v>0.93</v>
      </c>
      <c r="N181" s="35">
        <v>0.83</v>
      </c>
      <c r="O181" s="35">
        <v>0.82</v>
      </c>
      <c r="P181" s="35">
        <v>0.75</v>
      </c>
      <c r="Q181" s="35">
        <v>0.69</v>
      </c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"/>
      <c r="BF181" s="1"/>
      <c r="BG181" s="1"/>
      <c r="BH181" s="1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</row>
    <row r="182" spans="1:73" x14ac:dyDescent="0.25">
      <c r="A182" s="30">
        <v>43509</v>
      </c>
      <c r="B182" s="32"/>
      <c r="C182" s="32"/>
      <c r="D182" s="31"/>
      <c r="E182" s="44"/>
      <c r="F182" s="43"/>
      <c r="G182" s="31"/>
      <c r="H182" s="31"/>
      <c r="I182" s="33">
        <v>60</v>
      </c>
      <c r="J182" s="33">
        <v>86400</v>
      </c>
      <c r="K182" s="33">
        <v>259200</v>
      </c>
      <c r="L182" s="33">
        <v>604800</v>
      </c>
      <c r="M182" s="33">
        <v>864000</v>
      </c>
      <c r="N182" s="33">
        <v>1209600</v>
      </c>
      <c r="O182" s="35"/>
      <c r="P182" s="35"/>
      <c r="Q182" s="35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"/>
      <c r="BF182" s="1"/>
      <c r="BG182" s="1"/>
      <c r="BH182" s="1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</row>
    <row r="183" spans="1:73" x14ac:dyDescent="0.25">
      <c r="A183" s="30">
        <v>43509</v>
      </c>
      <c r="B183" s="32" t="s">
        <v>288</v>
      </c>
      <c r="C183" s="32" t="s">
        <v>71</v>
      </c>
      <c r="D183" s="31">
        <v>2019</v>
      </c>
      <c r="E183" s="44">
        <v>3</v>
      </c>
      <c r="F183" s="31" t="s">
        <v>13</v>
      </c>
      <c r="G183" s="31"/>
      <c r="H183" s="31" t="s">
        <v>190</v>
      </c>
      <c r="I183" s="35">
        <v>0.96467391304347827</v>
      </c>
      <c r="J183" s="35">
        <v>0.95244565217391308</v>
      </c>
      <c r="K183" s="35">
        <v>0.94157608695652173</v>
      </c>
      <c r="L183" s="35">
        <v>0.85054347826086951</v>
      </c>
      <c r="M183" s="35">
        <v>0.80298913043478259</v>
      </c>
      <c r="N183" s="35">
        <v>0.79891304347826086</v>
      </c>
      <c r="O183" s="35"/>
      <c r="P183" s="35"/>
      <c r="Q183" s="35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"/>
      <c r="BF183" s="1"/>
      <c r="BG183" s="1"/>
      <c r="BH183" s="1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</row>
    <row r="184" spans="1:73" x14ac:dyDescent="0.25">
      <c r="A184" s="30">
        <v>43509</v>
      </c>
      <c r="B184" s="32"/>
      <c r="C184" s="32"/>
      <c r="D184" s="31"/>
      <c r="E184" s="44"/>
      <c r="F184" s="31"/>
      <c r="G184" s="31"/>
      <c r="H184" s="31"/>
      <c r="I184" s="33">
        <f>10*60</f>
        <v>600</v>
      </c>
      <c r="J184" s="33">
        <f>60*60</f>
        <v>3600</v>
      </c>
      <c r="K184" s="33">
        <f>24*60*60</f>
        <v>86400</v>
      </c>
      <c r="L184" s="33">
        <f>7*24*60*60</f>
        <v>604800</v>
      </c>
      <c r="M184" s="33">
        <f>30*24*60*60*1</f>
        <v>2592000</v>
      </c>
      <c r="N184" s="33">
        <f>30*24*60*60*3</f>
        <v>7776000</v>
      </c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"/>
      <c r="BF184" s="1"/>
      <c r="BG184" s="1"/>
      <c r="BH184" s="1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</row>
    <row r="185" spans="1:73" x14ac:dyDescent="0.25">
      <c r="A185" s="30">
        <v>43509</v>
      </c>
      <c r="B185" s="32" t="s">
        <v>107</v>
      </c>
      <c r="C185" s="32" t="s">
        <v>50</v>
      </c>
      <c r="D185" s="31">
        <v>1976</v>
      </c>
      <c r="E185" s="44">
        <v>1</v>
      </c>
      <c r="F185" s="31" t="s">
        <v>25</v>
      </c>
      <c r="G185" s="31" t="s">
        <v>12</v>
      </c>
      <c r="H185" s="31" t="s">
        <v>12</v>
      </c>
      <c r="I185" s="35">
        <v>0.52400000000000002</v>
      </c>
      <c r="J185" s="35">
        <v>0.45400000000000001</v>
      </c>
      <c r="K185" s="35">
        <v>0.35299999999999998</v>
      </c>
      <c r="L185" s="35">
        <v>0.23599999999999999</v>
      </c>
      <c r="M185" s="35">
        <v>0.16800000000000001</v>
      </c>
      <c r="N185" s="35">
        <v>0.15</v>
      </c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"/>
      <c r="BF185" s="1"/>
      <c r="BG185" s="1"/>
      <c r="BH185" s="1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</row>
    <row r="186" spans="1:73" x14ac:dyDescent="0.25">
      <c r="A186" s="30">
        <v>43509</v>
      </c>
      <c r="B186" s="32"/>
      <c r="C186" s="32"/>
      <c r="D186" s="31"/>
      <c r="E186" s="44"/>
      <c r="F186" s="31"/>
      <c r="G186" s="31"/>
      <c r="H186" s="31"/>
      <c r="I186" s="33">
        <f>10*60</f>
        <v>600</v>
      </c>
      <c r="J186" s="33">
        <f>60*60</f>
        <v>3600</v>
      </c>
      <c r="K186" s="33">
        <f>24*60*60</f>
        <v>86400</v>
      </c>
      <c r="L186" s="33">
        <f>7*24*60*60</f>
        <v>604800</v>
      </c>
      <c r="M186" s="33">
        <f>30*24*60*60*1</f>
        <v>2592000</v>
      </c>
      <c r="N186" s="33">
        <f>30*24*60*60*3</f>
        <v>7776000</v>
      </c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"/>
      <c r="BF186" s="1"/>
      <c r="BG186" s="1"/>
      <c r="BH186" s="1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</row>
    <row r="187" spans="1:73" x14ac:dyDescent="0.25">
      <c r="A187" s="30">
        <v>43509</v>
      </c>
      <c r="B187" s="32" t="s">
        <v>107</v>
      </c>
      <c r="C187" s="32" t="s">
        <v>50</v>
      </c>
      <c r="D187" s="31">
        <v>1976</v>
      </c>
      <c r="E187" s="44">
        <v>1</v>
      </c>
      <c r="F187" s="31" t="s">
        <v>25</v>
      </c>
      <c r="G187" s="31" t="s">
        <v>186</v>
      </c>
      <c r="H187" s="31" t="s">
        <v>186</v>
      </c>
      <c r="I187" s="35">
        <v>0.73399999999999999</v>
      </c>
      <c r="J187" s="35">
        <v>0.66900000000000004</v>
      </c>
      <c r="K187" s="35">
        <v>0.503</v>
      </c>
      <c r="L187" s="35">
        <v>0.39</v>
      </c>
      <c r="M187" s="35">
        <v>0.29299999999999998</v>
      </c>
      <c r="N187" s="35">
        <v>0.21199999999999999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"/>
      <c r="BF187" s="1"/>
      <c r="BG187" s="1"/>
      <c r="BH187" s="1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</row>
    <row r="188" spans="1:73" x14ac:dyDescent="0.25">
      <c r="A188" s="27">
        <v>43978</v>
      </c>
      <c r="B188" s="5"/>
      <c r="C188" s="5"/>
      <c r="D188" s="22"/>
      <c r="E188" s="37"/>
      <c r="F188" s="22"/>
      <c r="G188" s="22"/>
      <c r="H188" s="22"/>
      <c r="I188" s="17">
        <f>60*60</f>
        <v>3600</v>
      </c>
      <c r="J188" s="17">
        <f>60*60*24</f>
        <v>86400</v>
      </c>
      <c r="K188" s="17">
        <f>60*60*24*3</f>
        <v>259200</v>
      </c>
      <c r="L188" s="17">
        <f>60*60*24*6</f>
        <v>518400</v>
      </c>
      <c r="M188" s="17">
        <f>60*60*24*13</f>
        <v>1123200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5"/>
      <c r="BF188" s="5"/>
      <c r="BG188" s="5"/>
      <c r="BH188" s="5"/>
    </row>
    <row r="189" spans="1:73" x14ac:dyDescent="0.25">
      <c r="A189" s="27">
        <v>43978</v>
      </c>
      <c r="B189" s="5" t="s">
        <v>502</v>
      </c>
      <c r="C189" s="5" t="s">
        <v>501</v>
      </c>
      <c r="D189" s="22">
        <v>1995</v>
      </c>
      <c r="E189" s="37">
        <v>1</v>
      </c>
      <c r="F189" s="22" t="s">
        <v>13</v>
      </c>
      <c r="G189" s="22" t="s">
        <v>197</v>
      </c>
      <c r="H189" s="22" t="s">
        <v>187</v>
      </c>
      <c r="I189" s="15">
        <v>0.947922466569739</v>
      </c>
      <c r="J189" s="2">
        <v>0.92950447366762501</v>
      </c>
      <c r="K189" s="15">
        <v>0.91499662057169895</v>
      </c>
      <c r="L189" s="15">
        <v>0.89723060740605509</v>
      </c>
      <c r="M189" s="2">
        <v>0.86968142096810297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5"/>
      <c r="BF189" s="5"/>
      <c r="BG189" s="5"/>
      <c r="BH189" s="5"/>
    </row>
    <row r="190" spans="1:73" x14ac:dyDescent="0.25">
      <c r="A190" s="30">
        <v>43509</v>
      </c>
      <c r="B190" s="32"/>
      <c r="C190" s="32"/>
      <c r="D190" s="31"/>
      <c r="E190" s="44"/>
      <c r="F190" s="31"/>
      <c r="G190" s="31"/>
      <c r="H190" s="31"/>
      <c r="I190" s="33">
        <f>30*24*60*60*4</f>
        <v>10368000</v>
      </c>
      <c r="J190" s="33">
        <f>30*24*60*60*7</f>
        <v>18144000</v>
      </c>
      <c r="K190" s="33">
        <f>30*24*60*60*10</f>
        <v>25920000</v>
      </c>
      <c r="L190" s="33">
        <f>30*24*60*60*13</f>
        <v>33696000</v>
      </c>
      <c r="M190" s="33">
        <f>30*24*60*60*16</f>
        <v>41472000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"/>
      <c r="BF190" s="1"/>
      <c r="BG190" s="1"/>
      <c r="BH190" s="1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</row>
    <row r="191" spans="1:73" x14ac:dyDescent="0.25">
      <c r="A191" s="30">
        <v>43509</v>
      </c>
      <c r="B191" s="32" t="s">
        <v>109</v>
      </c>
      <c r="C191" s="32" t="s">
        <v>110</v>
      </c>
      <c r="D191" s="31">
        <v>1978</v>
      </c>
      <c r="E191" s="44">
        <v>1</v>
      </c>
      <c r="F191" s="31" t="s">
        <v>24</v>
      </c>
      <c r="G191" s="31" t="s">
        <v>407</v>
      </c>
      <c r="H191" s="31" t="s">
        <v>343</v>
      </c>
      <c r="I191" s="35">
        <v>0.66222222222222227</v>
      </c>
      <c r="J191" s="35">
        <v>0.62777777777777777</v>
      </c>
      <c r="K191" s="35">
        <v>0.60666666666666669</v>
      </c>
      <c r="L191" s="35">
        <v>0.59</v>
      </c>
      <c r="M191" s="35">
        <v>0.57444444444444442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"/>
      <c r="BF191" s="1"/>
      <c r="BG191" s="1"/>
      <c r="BH191" s="1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</row>
    <row r="192" spans="1:73" x14ac:dyDescent="0.25">
      <c r="A192" s="30">
        <v>43509</v>
      </c>
      <c r="B192" s="32"/>
      <c r="C192" s="32"/>
      <c r="D192" s="31"/>
      <c r="E192" s="44"/>
      <c r="F192" s="31"/>
      <c r="G192" s="31"/>
      <c r="H192" s="31"/>
      <c r="I192" s="33">
        <f>30*24*60*60*4</f>
        <v>10368000</v>
      </c>
      <c r="J192" s="33">
        <f>30*24*60*60*7</f>
        <v>18144000</v>
      </c>
      <c r="K192" s="33">
        <f>30*24*60*60*10</f>
        <v>25920000</v>
      </c>
      <c r="L192" s="33">
        <f>30*24*60*60*13</f>
        <v>33696000</v>
      </c>
      <c r="M192" s="33">
        <f>30*24*60*60*16</f>
        <v>41472000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"/>
      <c r="BF192" s="1"/>
      <c r="BG192" s="1"/>
      <c r="BH192" s="1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</row>
    <row r="193" spans="1:73" x14ac:dyDescent="0.25">
      <c r="A193" s="30">
        <v>43509</v>
      </c>
      <c r="B193" s="32" t="s">
        <v>109</v>
      </c>
      <c r="C193" s="32" t="s">
        <v>110</v>
      </c>
      <c r="D193" s="31">
        <v>1978</v>
      </c>
      <c r="E193" s="44">
        <v>1</v>
      </c>
      <c r="F193" s="31" t="s">
        <v>24</v>
      </c>
      <c r="G193" s="31" t="s">
        <v>408</v>
      </c>
      <c r="H193" s="31" t="s">
        <v>343</v>
      </c>
      <c r="I193" s="35">
        <v>0.72499999999999998</v>
      </c>
      <c r="J193" s="35">
        <v>0.65166666666666673</v>
      </c>
      <c r="K193" s="35">
        <v>0.6166666666666667</v>
      </c>
      <c r="L193" s="35">
        <v>0.65666666666666662</v>
      </c>
      <c r="M193" s="35">
        <v>0.67833333333333334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"/>
      <c r="BF193" s="1"/>
      <c r="BG193" s="1"/>
      <c r="BH193" s="1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</row>
    <row r="194" spans="1:73" x14ac:dyDescent="0.25">
      <c r="A194" s="30">
        <v>43509</v>
      </c>
      <c r="B194" s="32"/>
      <c r="C194" s="32"/>
      <c r="D194" s="31"/>
      <c r="E194" s="44"/>
      <c r="F194" s="31"/>
      <c r="G194" s="31"/>
      <c r="H194" s="31"/>
      <c r="I194" s="33">
        <f>30*24*60*60*4</f>
        <v>10368000</v>
      </c>
      <c r="J194" s="33">
        <f>30*24*60*60*7</f>
        <v>18144000</v>
      </c>
      <c r="K194" s="33">
        <f>30*24*60*60*10</f>
        <v>25920000</v>
      </c>
      <c r="L194" s="33">
        <f>30*24*60*60*13</f>
        <v>33696000</v>
      </c>
      <c r="M194" s="33">
        <f>30*24*60*60*16</f>
        <v>41472000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"/>
      <c r="BF194" s="1"/>
      <c r="BG194" s="1"/>
      <c r="BH194" s="1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</row>
    <row r="195" spans="1:73" x14ac:dyDescent="0.25">
      <c r="A195" s="30">
        <v>43509</v>
      </c>
      <c r="B195" s="32" t="s">
        <v>109</v>
      </c>
      <c r="C195" s="32" t="s">
        <v>110</v>
      </c>
      <c r="D195" s="31">
        <v>1978</v>
      </c>
      <c r="E195" s="44">
        <v>1</v>
      </c>
      <c r="F195" s="31" t="s">
        <v>24</v>
      </c>
      <c r="G195" s="31" t="s">
        <v>410</v>
      </c>
      <c r="H195" s="31" t="s">
        <v>343</v>
      </c>
      <c r="I195" s="35">
        <v>0.51666666666666672</v>
      </c>
      <c r="J195" s="35">
        <v>0.52666666666666673</v>
      </c>
      <c r="K195" s="35">
        <v>0.54999999999999993</v>
      </c>
      <c r="L195" s="35">
        <v>0.44</v>
      </c>
      <c r="M195" s="35">
        <v>0.50666666666666671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"/>
      <c r="BF195" s="1"/>
      <c r="BG195" s="1"/>
      <c r="BH195" s="1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</row>
    <row r="196" spans="1:73" x14ac:dyDescent="0.25">
      <c r="A196" s="30">
        <v>43509</v>
      </c>
      <c r="B196" s="32"/>
      <c r="C196" s="32"/>
      <c r="D196" s="31"/>
      <c r="E196" s="44"/>
      <c r="F196" s="31"/>
      <c r="G196" s="31"/>
      <c r="H196" s="31"/>
      <c r="I196" s="33">
        <f>30*24*60*60*4</f>
        <v>10368000</v>
      </c>
      <c r="J196" s="33">
        <f>30*24*60*60*7</f>
        <v>18144000</v>
      </c>
      <c r="K196" s="33">
        <f>30*24*60*60*10</f>
        <v>25920000</v>
      </c>
      <c r="L196" s="33">
        <f>30*24*60*60*13</f>
        <v>33696000</v>
      </c>
      <c r="M196" s="33">
        <f>30*24*60*60*16</f>
        <v>41472000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"/>
      <c r="BF196" s="1"/>
      <c r="BG196" s="1"/>
      <c r="BH196" s="1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</row>
    <row r="197" spans="1:73" x14ac:dyDescent="0.25">
      <c r="A197" s="30">
        <v>43509</v>
      </c>
      <c r="B197" s="32" t="s">
        <v>109</v>
      </c>
      <c r="C197" s="32" t="s">
        <v>110</v>
      </c>
      <c r="D197" s="31">
        <v>1978</v>
      </c>
      <c r="E197" s="44">
        <v>1</v>
      </c>
      <c r="F197" s="31" t="s">
        <v>24</v>
      </c>
      <c r="G197" s="31" t="s">
        <v>411</v>
      </c>
      <c r="H197" s="31" t="s">
        <v>343</v>
      </c>
      <c r="I197" s="35">
        <v>0.65333333333333332</v>
      </c>
      <c r="J197" s="35">
        <v>0.58111111111111113</v>
      </c>
      <c r="K197" s="35">
        <v>0.51666666666666672</v>
      </c>
      <c r="L197" s="35">
        <v>0.55555555555555558</v>
      </c>
      <c r="M197" s="35">
        <v>0.47666666666666668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"/>
      <c r="BF197" s="1"/>
      <c r="BG197" s="1"/>
      <c r="BH197" s="1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</row>
    <row r="198" spans="1:73" x14ac:dyDescent="0.25">
      <c r="A198" s="30">
        <v>43509</v>
      </c>
      <c r="B198" s="32"/>
      <c r="C198" s="32"/>
      <c r="D198" s="31"/>
      <c r="E198" s="44"/>
      <c r="F198" s="31"/>
      <c r="G198" s="31"/>
      <c r="H198" s="31"/>
      <c r="I198" s="33">
        <f>30*24*60*60*4</f>
        <v>10368000</v>
      </c>
      <c r="J198" s="33">
        <f>30*24*60*60*7</f>
        <v>18144000</v>
      </c>
      <c r="K198" s="33">
        <f>30*24*60*60*10</f>
        <v>25920000</v>
      </c>
      <c r="L198" s="33">
        <f>30*24*60*60*13</f>
        <v>33696000</v>
      </c>
      <c r="M198" s="33">
        <f>30*24*60*60*16</f>
        <v>41472000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"/>
      <c r="BF198" s="1"/>
      <c r="BG198" s="1"/>
      <c r="BH198" s="1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</row>
    <row r="199" spans="1:73" x14ac:dyDescent="0.25">
      <c r="A199" s="30">
        <v>43509</v>
      </c>
      <c r="B199" s="32" t="s">
        <v>109</v>
      </c>
      <c r="C199" s="32" t="s">
        <v>110</v>
      </c>
      <c r="D199" s="31">
        <v>1978</v>
      </c>
      <c r="E199" s="44">
        <v>1</v>
      </c>
      <c r="F199" s="31" t="s">
        <v>24</v>
      </c>
      <c r="G199" s="31" t="s">
        <v>412</v>
      </c>
      <c r="H199" s="31" t="s">
        <v>343</v>
      </c>
      <c r="I199" s="35">
        <v>0.73166666666666658</v>
      </c>
      <c r="J199" s="35">
        <v>0.55333333333333334</v>
      </c>
      <c r="K199" s="35">
        <v>0.56166666666666665</v>
      </c>
      <c r="L199" s="35">
        <v>0.61499999999999999</v>
      </c>
      <c r="M199" s="35">
        <v>0.59833333333333327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"/>
      <c r="BF199" s="1"/>
      <c r="BG199" s="1"/>
      <c r="BH199" s="1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</row>
    <row r="200" spans="1:73" x14ac:dyDescent="0.25">
      <c r="A200" s="30">
        <v>43509</v>
      </c>
      <c r="B200" s="32"/>
      <c r="C200" s="32"/>
      <c r="D200" s="31"/>
      <c r="E200" s="44"/>
      <c r="F200" s="31"/>
      <c r="G200" s="31"/>
      <c r="H200" s="31"/>
      <c r="I200" s="33">
        <v>30</v>
      </c>
      <c r="J200" s="33">
        <f>24*3600*1</f>
        <v>86400</v>
      </c>
      <c r="K200" s="33">
        <f>24*3600*2</f>
        <v>172800</v>
      </c>
      <c r="L200" s="33">
        <f>24*3600*3</f>
        <v>259200</v>
      </c>
      <c r="M200" s="33">
        <f>24*3600*4</f>
        <v>345600</v>
      </c>
      <c r="N200" s="33">
        <f>24*3600*6</f>
        <v>518400</v>
      </c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"/>
      <c r="BF200" s="1"/>
      <c r="BG200" s="1"/>
      <c r="BH200" s="1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</row>
    <row r="201" spans="1:73" x14ac:dyDescent="0.25">
      <c r="A201" s="30">
        <v>43509</v>
      </c>
      <c r="B201" s="32" t="s">
        <v>72</v>
      </c>
      <c r="C201" s="32" t="s">
        <v>15</v>
      </c>
      <c r="D201" s="31">
        <v>1936</v>
      </c>
      <c r="E201" s="44">
        <v>1</v>
      </c>
      <c r="F201" s="31" t="s">
        <v>32</v>
      </c>
      <c r="G201" s="31" t="s">
        <v>415</v>
      </c>
      <c r="H201" s="31" t="s">
        <v>174</v>
      </c>
      <c r="I201" s="35">
        <v>1</v>
      </c>
      <c r="J201" s="35">
        <v>0.64500000000000002</v>
      </c>
      <c r="K201" s="35">
        <v>0.61799999999999999</v>
      </c>
      <c r="L201" s="35">
        <v>0.45600000000000002</v>
      </c>
      <c r="M201" s="35">
        <v>0.38600000000000001</v>
      </c>
      <c r="N201" s="35">
        <v>0.27800000000000002</v>
      </c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"/>
      <c r="BF201" s="1"/>
      <c r="BG201" s="1"/>
      <c r="BH201" s="1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</row>
    <row r="202" spans="1:73" x14ac:dyDescent="0.25">
      <c r="A202" s="30">
        <v>43509</v>
      </c>
      <c r="B202" s="32"/>
      <c r="C202" s="32"/>
      <c r="D202" s="31"/>
      <c r="E202" s="44"/>
      <c r="F202" s="31"/>
      <c r="G202" s="31"/>
      <c r="H202" s="31"/>
      <c r="I202" s="33">
        <v>30</v>
      </c>
      <c r="J202" s="33">
        <f>24*3600*1</f>
        <v>86400</v>
      </c>
      <c r="K202" s="33">
        <f>24*3600*2</f>
        <v>172800</v>
      </c>
      <c r="L202" s="33">
        <f>24*3600*3</f>
        <v>259200</v>
      </c>
      <c r="M202" s="33">
        <f>24*3600*4</f>
        <v>345600</v>
      </c>
      <c r="N202" s="33">
        <f>24*3600*6</f>
        <v>518400</v>
      </c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"/>
      <c r="BF202" s="1"/>
      <c r="BG202" s="1"/>
      <c r="BH202" s="1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</row>
    <row r="203" spans="1:73" x14ac:dyDescent="0.25">
      <c r="A203" s="30">
        <v>43509</v>
      </c>
      <c r="B203" s="32" t="s">
        <v>72</v>
      </c>
      <c r="C203" s="32" t="s">
        <v>15</v>
      </c>
      <c r="D203" s="31">
        <v>1936</v>
      </c>
      <c r="E203" s="44">
        <v>1</v>
      </c>
      <c r="F203" s="31" t="s">
        <v>32</v>
      </c>
      <c r="G203" s="31" t="s">
        <v>416</v>
      </c>
      <c r="H203" s="31" t="s">
        <v>174</v>
      </c>
      <c r="I203" s="35">
        <v>1</v>
      </c>
      <c r="J203" s="35">
        <v>0.61199999999999999</v>
      </c>
      <c r="K203" s="35">
        <v>0.60799999999999998</v>
      </c>
      <c r="L203" s="35">
        <v>0.56000000000000005</v>
      </c>
      <c r="M203" s="35">
        <v>0.52100000000000002</v>
      </c>
      <c r="N203" s="35">
        <v>0.436</v>
      </c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"/>
      <c r="BF203" s="1"/>
      <c r="BG203" s="1"/>
      <c r="BH203" s="1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</row>
    <row r="204" spans="1:73" x14ac:dyDescent="0.25">
      <c r="A204" s="27">
        <v>43899</v>
      </c>
      <c r="B204" s="1"/>
      <c r="C204" s="1"/>
      <c r="D204" s="23"/>
      <c r="E204" s="38"/>
      <c r="F204" s="23"/>
      <c r="G204" s="23"/>
      <c r="H204" s="23"/>
      <c r="I204" s="12">
        <v>157680000</v>
      </c>
      <c r="J204" s="12">
        <v>473040000</v>
      </c>
      <c r="K204" s="12">
        <v>788400000</v>
      </c>
      <c r="L204" s="12">
        <v>1103760000</v>
      </c>
      <c r="M204" s="12">
        <v>1419120000</v>
      </c>
      <c r="N204" s="12">
        <v>1734480000</v>
      </c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"/>
      <c r="BF204" s="1"/>
      <c r="BG204" s="1"/>
      <c r="BH204" s="1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</row>
    <row r="205" spans="1:73" x14ac:dyDescent="0.25">
      <c r="A205" s="27">
        <v>43899</v>
      </c>
      <c r="B205" s="1" t="s">
        <v>234</v>
      </c>
      <c r="C205" s="1" t="s">
        <v>235</v>
      </c>
      <c r="D205" s="23">
        <v>2001</v>
      </c>
      <c r="E205" s="38">
        <v>1</v>
      </c>
      <c r="F205" s="23" t="s">
        <v>25</v>
      </c>
      <c r="G205" s="23"/>
      <c r="H205" s="23" t="s">
        <v>208</v>
      </c>
      <c r="I205" s="18">
        <v>0.47</v>
      </c>
      <c r="J205" s="18">
        <v>0.52</v>
      </c>
      <c r="K205" s="18">
        <v>0.41</v>
      </c>
      <c r="L205" s="18">
        <v>0.49</v>
      </c>
      <c r="M205" s="18">
        <v>0.51</v>
      </c>
      <c r="N205" s="18">
        <v>0.46</v>
      </c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"/>
      <c r="BF205" s="1"/>
      <c r="BG205" s="1"/>
      <c r="BH205" s="1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</row>
    <row r="206" spans="1:73" x14ac:dyDescent="0.25">
      <c r="A206" s="27">
        <v>43899</v>
      </c>
      <c r="B206" s="1"/>
      <c r="C206" s="1"/>
      <c r="D206" s="23"/>
      <c r="E206" s="38"/>
      <c r="F206" s="23"/>
      <c r="G206" s="23"/>
      <c r="H206" s="23"/>
      <c r="I206" s="12">
        <v>157680000</v>
      </c>
      <c r="J206" s="12">
        <v>473040000</v>
      </c>
      <c r="K206" s="12">
        <v>788400000</v>
      </c>
      <c r="L206" s="12">
        <v>1103760000</v>
      </c>
      <c r="M206" s="12">
        <v>1419120000</v>
      </c>
      <c r="N206" s="12">
        <v>1734480000</v>
      </c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"/>
      <c r="BF206" s="1"/>
      <c r="BG206" s="1"/>
      <c r="BH206" s="1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</row>
    <row r="207" spans="1:73" x14ac:dyDescent="0.25">
      <c r="A207" s="27">
        <v>43899</v>
      </c>
      <c r="B207" s="1" t="s">
        <v>234</v>
      </c>
      <c r="C207" s="1" t="s">
        <v>235</v>
      </c>
      <c r="D207" s="23">
        <v>2001</v>
      </c>
      <c r="E207" s="38">
        <v>1</v>
      </c>
      <c r="F207" s="23" t="s">
        <v>25</v>
      </c>
      <c r="G207" s="23"/>
      <c r="H207" s="23" t="s">
        <v>208</v>
      </c>
      <c r="I207" s="18">
        <v>0.86</v>
      </c>
      <c r="J207" s="18">
        <v>0.92</v>
      </c>
      <c r="K207" s="18">
        <v>0.85</v>
      </c>
      <c r="L207" s="18">
        <v>0.89</v>
      </c>
      <c r="M207" s="18">
        <v>0.94</v>
      </c>
      <c r="N207" s="18">
        <v>0.83</v>
      </c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"/>
      <c r="BF207" s="1"/>
      <c r="BG207" s="1"/>
      <c r="BH207" s="1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</row>
    <row r="208" spans="1:73" x14ac:dyDescent="0.25">
      <c r="A208" s="27">
        <v>43902</v>
      </c>
      <c r="B208" s="1"/>
      <c r="C208" s="1"/>
      <c r="D208" s="23"/>
      <c r="E208" s="38"/>
      <c r="F208" s="23"/>
      <c r="G208" s="23"/>
      <c r="H208" s="23"/>
      <c r="I208" s="12">
        <v>315360000</v>
      </c>
      <c r="J208" s="12">
        <v>630720000</v>
      </c>
      <c r="K208" s="12">
        <v>946080000</v>
      </c>
      <c r="L208" s="12">
        <v>1261440000</v>
      </c>
      <c r="M208" s="12">
        <v>1576800000</v>
      </c>
      <c r="N208" s="12">
        <v>1892160000</v>
      </c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"/>
      <c r="BF208" s="1"/>
      <c r="BG208" s="1"/>
      <c r="BH208" s="1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</row>
    <row r="209" spans="1:73" x14ac:dyDescent="0.25">
      <c r="A209" s="27">
        <v>43902</v>
      </c>
      <c r="B209" s="1" t="s">
        <v>280</v>
      </c>
      <c r="C209" s="1" t="s">
        <v>260</v>
      </c>
      <c r="D209" s="23">
        <v>1986</v>
      </c>
      <c r="E209" s="38">
        <v>1</v>
      </c>
      <c r="F209" s="23" t="s">
        <v>32</v>
      </c>
      <c r="G209" s="23" t="s">
        <v>197</v>
      </c>
      <c r="H209" s="23" t="s">
        <v>202</v>
      </c>
      <c r="I209" s="18">
        <v>0.68750000000000011</v>
      </c>
      <c r="J209" s="18">
        <v>0.73626373626373631</v>
      </c>
      <c r="K209" s="18">
        <v>0.76</v>
      </c>
      <c r="L209" s="18">
        <v>0.66086956521739137</v>
      </c>
      <c r="M209" s="18">
        <v>0.69696969696969691</v>
      </c>
      <c r="N209" s="18">
        <v>0.65957446808510645</v>
      </c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"/>
      <c r="BF209" s="1"/>
      <c r="BG209" s="1"/>
      <c r="BH209" s="1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</row>
    <row r="210" spans="1:73" x14ac:dyDescent="0.25">
      <c r="A210" s="27">
        <v>43902</v>
      </c>
      <c r="B210" s="1"/>
      <c r="C210" s="1"/>
      <c r="D210" s="23"/>
      <c r="E210" s="38"/>
      <c r="F210" s="23"/>
      <c r="G210" s="23"/>
      <c r="H210" s="23"/>
      <c r="I210" s="12">
        <v>315360000</v>
      </c>
      <c r="J210" s="12">
        <v>630720000</v>
      </c>
      <c r="K210" s="12">
        <v>946080000</v>
      </c>
      <c r="L210" s="12">
        <v>1261440000</v>
      </c>
      <c r="M210" s="12">
        <v>1576800000</v>
      </c>
      <c r="N210" s="12">
        <v>1892160000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"/>
      <c r="BF210" s="1"/>
      <c r="BG210" s="1"/>
      <c r="BH210" s="1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</row>
    <row r="211" spans="1:73" x14ac:dyDescent="0.25">
      <c r="A211" s="27">
        <v>43902</v>
      </c>
      <c r="B211" s="1" t="s">
        <v>280</v>
      </c>
      <c r="C211" s="1" t="s">
        <v>260</v>
      </c>
      <c r="D211" s="23">
        <v>1986</v>
      </c>
      <c r="E211" s="38">
        <v>1</v>
      </c>
      <c r="F211" s="23" t="s">
        <v>25</v>
      </c>
      <c r="G211" s="23" t="s">
        <v>197</v>
      </c>
      <c r="H211" s="23" t="s">
        <v>202</v>
      </c>
      <c r="I211" s="18">
        <v>0.69902912621359214</v>
      </c>
      <c r="J211" s="18">
        <v>0.8</v>
      </c>
      <c r="K211" s="18">
        <v>0.66</v>
      </c>
      <c r="L211" s="18">
        <v>0.61224489795918369</v>
      </c>
      <c r="M211" s="18">
        <v>0.75268817204301064</v>
      </c>
      <c r="N211" s="18">
        <v>0.56034482758620696</v>
      </c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"/>
      <c r="BF211" s="1"/>
      <c r="BG211" s="1"/>
      <c r="BH211" s="1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</row>
    <row r="212" spans="1:73" x14ac:dyDescent="0.25">
      <c r="A212" s="27">
        <v>43902</v>
      </c>
      <c r="B212" s="1"/>
      <c r="C212" s="1"/>
      <c r="D212" s="23"/>
      <c r="E212" s="38"/>
      <c r="F212" s="23"/>
      <c r="G212" s="23"/>
      <c r="H212" s="23"/>
      <c r="I212" s="12">
        <v>315360000</v>
      </c>
      <c r="J212" s="12">
        <v>630720000</v>
      </c>
      <c r="K212" s="12">
        <v>946080000</v>
      </c>
      <c r="L212" s="12">
        <v>1261440000</v>
      </c>
      <c r="M212" s="12">
        <v>1576800000</v>
      </c>
      <c r="N212" s="12">
        <v>1892160000</v>
      </c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"/>
      <c r="BF212" s="1"/>
      <c r="BG212" s="1"/>
      <c r="BH212" s="1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</row>
    <row r="213" spans="1:73" x14ac:dyDescent="0.25">
      <c r="A213" s="27">
        <v>43902</v>
      </c>
      <c r="B213" s="1" t="s">
        <v>280</v>
      </c>
      <c r="C213" s="1" t="s">
        <v>260</v>
      </c>
      <c r="D213" s="23">
        <v>1986</v>
      </c>
      <c r="E213" s="38">
        <v>1</v>
      </c>
      <c r="F213" s="23" t="s">
        <v>22</v>
      </c>
      <c r="G213" s="23" t="s">
        <v>197</v>
      </c>
      <c r="H213" s="23" t="s">
        <v>208</v>
      </c>
      <c r="I213" s="18">
        <v>0.76</v>
      </c>
      <c r="J213" s="18">
        <v>0.79166666666666674</v>
      </c>
      <c r="K213" s="18">
        <v>0.66055045871559626</v>
      </c>
      <c r="L213" s="18">
        <v>0.75961538461538458</v>
      </c>
      <c r="M213" s="18">
        <v>0.66304347826086951</v>
      </c>
      <c r="N213" s="18">
        <v>0.6607142857142857</v>
      </c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"/>
      <c r="BF213" s="1"/>
      <c r="BG213" s="1"/>
      <c r="BH213" s="1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</row>
    <row r="214" spans="1:73" x14ac:dyDescent="0.25">
      <c r="A214" s="27">
        <v>43978</v>
      </c>
      <c r="B214" s="1"/>
      <c r="C214" s="1"/>
      <c r="D214" s="23"/>
      <c r="E214" s="38"/>
      <c r="F214" s="23"/>
      <c r="G214" s="23"/>
      <c r="H214" s="23"/>
      <c r="I214" s="85">
        <f>60*30</f>
        <v>1800</v>
      </c>
      <c r="J214" s="85">
        <f>60*60*24</f>
        <v>86400</v>
      </c>
      <c r="K214" s="85">
        <f>60*60*24*7</f>
        <v>604800</v>
      </c>
      <c r="L214" s="85">
        <f>60*60*24*7*2</f>
        <v>1209600</v>
      </c>
      <c r="M214" s="85">
        <f>60*60*24*7*4</f>
        <v>2419200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"/>
      <c r="BF214" s="1"/>
      <c r="BG214" s="1"/>
      <c r="BH214" s="1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</row>
    <row r="215" spans="1:73" x14ac:dyDescent="0.25">
      <c r="A215" s="27">
        <v>43978</v>
      </c>
      <c r="B215" s="1" t="s">
        <v>504</v>
      </c>
      <c r="C215" s="1" t="s">
        <v>36</v>
      </c>
      <c r="D215" s="23">
        <v>2010</v>
      </c>
      <c r="E215" s="38">
        <v>1</v>
      </c>
      <c r="F215" s="23" t="s">
        <v>25</v>
      </c>
      <c r="G215" s="23" t="s">
        <v>197</v>
      </c>
      <c r="H215" s="23" t="s">
        <v>397</v>
      </c>
      <c r="I215" s="84">
        <v>0.69290777276523996</v>
      </c>
      <c r="J215" s="84">
        <v>0.63717920136448247</v>
      </c>
      <c r="K215" s="84">
        <v>0.34663873318003502</v>
      </c>
      <c r="L215" s="84">
        <v>0.17946178064294999</v>
      </c>
      <c r="M215" s="18">
        <v>0.10971527508708101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"/>
      <c r="BF215" s="1"/>
      <c r="BG215" s="1"/>
      <c r="BH215" s="1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</row>
    <row r="216" spans="1:73" x14ac:dyDescent="0.25">
      <c r="A216" s="27">
        <v>43978</v>
      </c>
      <c r="B216" s="1"/>
      <c r="C216" s="1"/>
      <c r="D216" s="23"/>
      <c r="E216" s="38"/>
      <c r="F216" s="23"/>
      <c r="G216" s="23"/>
      <c r="H216" s="23"/>
      <c r="I216" s="85">
        <f>60*30</f>
        <v>1800</v>
      </c>
      <c r="J216" s="85">
        <f>60*60*24</f>
        <v>86400</v>
      </c>
      <c r="K216" s="85">
        <f>60*60*24*7</f>
        <v>604800</v>
      </c>
      <c r="L216" s="85">
        <f>60*60*24*7*2</f>
        <v>1209600</v>
      </c>
      <c r="M216" s="85">
        <f>60*60*24*7*4</f>
        <v>2419200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"/>
      <c r="BF216" s="1"/>
      <c r="BG216" s="1"/>
      <c r="BH216" s="1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</row>
    <row r="217" spans="1:73" x14ac:dyDescent="0.25">
      <c r="A217" s="27">
        <v>43978</v>
      </c>
      <c r="B217" s="1" t="s">
        <v>504</v>
      </c>
      <c r="C217" s="1" t="s">
        <v>36</v>
      </c>
      <c r="D217" s="23">
        <v>2010</v>
      </c>
      <c r="E217" s="38">
        <v>1</v>
      </c>
      <c r="F217" s="23" t="s">
        <v>26</v>
      </c>
      <c r="G217" s="23" t="s">
        <v>197</v>
      </c>
      <c r="H217" s="23" t="s">
        <v>397</v>
      </c>
      <c r="I217" s="84">
        <v>1</v>
      </c>
      <c r="J217" s="84">
        <v>0.9476911976911917</v>
      </c>
      <c r="K217" s="84">
        <v>0.86471861471860834</v>
      </c>
      <c r="L217" s="84">
        <v>0.69696969696969668</v>
      </c>
      <c r="M217" s="18">
        <v>0.61580086580086502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"/>
      <c r="BF217" s="1"/>
      <c r="BG217" s="1"/>
      <c r="BH217" s="1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</row>
    <row r="218" spans="1:73" x14ac:dyDescent="0.25">
      <c r="A218" s="27">
        <v>43978</v>
      </c>
      <c r="B218" s="1"/>
      <c r="C218" s="1"/>
      <c r="D218" s="23"/>
      <c r="E218" s="38"/>
      <c r="F218" s="23"/>
      <c r="G218" s="23"/>
      <c r="H218" s="23"/>
      <c r="I218" s="85">
        <v>30</v>
      </c>
      <c r="J218" s="85">
        <f>60*30</f>
        <v>1800</v>
      </c>
      <c r="K218" s="85">
        <f>60*60*24</f>
        <v>86400</v>
      </c>
      <c r="L218" s="85">
        <f>60*60*24*7</f>
        <v>604800</v>
      </c>
      <c r="M218" s="85">
        <f>60*60*24*7*4</f>
        <v>2419200</v>
      </c>
      <c r="N218" s="18"/>
      <c r="O218" s="2" t="s">
        <v>500</v>
      </c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"/>
      <c r="BF218" s="1"/>
      <c r="BG218" s="1"/>
      <c r="BH218" s="1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</row>
    <row r="219" spans="1:73" x14ac:dyDescent="0.25">
      <c r="A219" s="27">
        <v>43978</v>
      </c>
      <c r="B219" s="1" t="s">
        <v>504</v>
      </c>
      <c r="C219" s="1" t="s">
        <v>36</v>
      </c>
      <c r="D219" s="23">
        <v>2010</v>
      </c>
      <c r="E219" s="38">
        <v>2</v>
      </c>
      <c r="F219" s="23" t="s">
        <v>13</v>
      </c>
      <c r="G219" s="23" t="s">
        <v>197</v>
      </c>
      <c r="H219" s="23" t="s">
        <v>397</v>
      </c>
      <c r="I219" s="84">
        <v>0.86427919708029</v>
      </c>
      <c r="J219" s="84">
        <v>0.77326642335766249</v>
      </c>
      <c r="K219" s="84">
        <v>0.65510948905109501</v>
      </c>
      <c r="L219" s="84">
        <v>0.40682025547445255</v>
      </c>
      <c r="M219" s="18">
        <v>0.23277828467153325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"/>
      <c r="BF219" s="1"/>
      <c r="BG219" s="1"/>
      <c r="BH219" s="1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</row>
    <row r="220" spans="1:73" x14ac:dyDescent="0.25">
      <c r="A220" s="30">
        <v>43509</v>
      </c>
      <c r="B220" s="32"/>
      <c r="C220" s="32"/>
      <c r="D220" s="31"/>
      <c r="E220" s="44"/>
      <c r="F220" s="31"/>
      <c r="G220" s="31"/>
      <c r="H220" s="31"/>
      <c r="I220" s="33">
        <v>30</v>
      </c>
      <c r="J220" s="33">
        <f>60*60*1</f>
        <v>3600</v>
      </c>
      <c r="K220" s="33">
        <f>60*60*2</f>
        <v>7200</v>
      </c>
      <c r="L220" s="33">
        <f>60*60*4</f>
        <v>14400</v>
      </c>
      <c r="M220" s="33">
        <f>60*60*8</f>
        <v>28800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"/>
      <c r="BF220" s="1"/>
      <c r="BG220" s="1"/>
      <c r="BH220" s="1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</row>
    <row r="221" spans="1:73" x14ac:dyDescent="0.25">
      <c r="A221" s="30">
        <v>43509</v>
      </c>
      <c r="B221" s="32" t="s">
        <v>153</v>
      </c>
      <c r="C221" s="32" t="s">
        <v>56</v>
      </c>
      <c r="D221" s="31">
        <v>1924</v>
      </c>
      <c r="E221" s="44">
        <v>1</v>
      </c>
      <c r="F221" s="31" t="s">
        <v>20</v>
      </c>
      <c r="G221" s="31" t="s">
        <v>373</v>
      </c>
      <c r="H221" s="31" t="s">
        <v>174</v>
      </c>
      <c r="I221" s="35">
        <v>1</v>
      </c>
      <c r="J221" s="35">
        <v>0.70499999999999996</v>
      </c>
      <c r="K221" s="35">
        <v>0.54</v>
      </c>
      <c r="L221" s="35">
        <v>0.55499999999999994</v>
      </c>
      <c r="M221" s="35">
        <v>0.56499999999999995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"/>
      <c r="BF221" s="1"/>
      <c r="BG221" s="1"/>
      <c r="BH221" s="1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</row>
    <row r="222" spans="1:73" x14ac:dyDescent="0.25">
      <c r="A222" s="30">
        <v>43509</v>
      </c>
      <c r="B222" s="32"/>
      <c r="C222" s="32"/>
      <c r="D222" s="31"/>
      <c r="E222" s="44"/>
      <c r="F222" s="31"/>
      <c r="G222" s="31"/>
      <c r="H222" s="31"/>
      <c r="I222" s="33">
        <v>30</v>
      </c>
      <c r="J222" s="33">
        <f>60*60*1</f>
        <v>3600</v>
      </c>
      <c r="K222" s="33">
        <f>60*60*2</f>
        <v>7200</v>
      </c>
      <c r="L222" s="33">
        <f>60*60*4</f>
        <v>14400</v>
      </c>
      <c r="M222" s="33">
        <f>60*60*8</f>
        <v>28800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"/>
      <c r="BF222" s="1"/>
      <c r="BG222" s="1"/>
      <c r="BH222" s="1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</row>
    <row r="223" spans="1:73" x14ac:dyDescent="0.25">
      <c r="A223" s="30">
        <v>43509</v>
      </c>
      <c r="B223" s="32" t="s">
        <v>153</v>
      </c>
      <c r="C223" s="32" t="s">
        <v>56</v>
      </c>
      <c r="D223" s="31">
        <v>1924</v>
      </c>
      <c r="E223" s="44">
        <v>1</v>
      </c>
      <c r="F223" s="31" t="s">
        <v>20</v>
      </c>
      <c r="G223" s="31" t="s">
        <v>374</v>
      </c>
      <c r="H223" s="31" t="s">
        <v>174</v>
      </c>
      <c r="I223" s="35">
        <v>1</v>
      </c>
      <c r="J223" s="35">
        <v>0.45999999999999996</v>
      </c>
      <c r="K223" s="35">
        <v>0.31000000000000005</v>
      </c>
      <c r="L223" s="35">
        <v>0.22499999999999998</v>
      </c>
      <c r="M223" s="35">
        <v>9.0000000000000011E-2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"/>
      <c r="BF223" s="1"/>
      <c r="BG223" s="1"/>
      <c r="BH223" s="1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</row>
    <row r="224" spans="1:73" x14ac:dyDescent="0.25">
      <c r="A224" s="30">
        <v>43509</v>
      </c>
      <c r="B224" s="48"/>
      <c r="C224" s="48"/>
      <c r="D224" s="46"/>
      <c r="E224" s="56"/>
      <c r="F224" s="46"/>
      <c r="G224" s="46"/>
      <c r="H224" s="46"/>
      <c r="I224" s="60">
        <f>10*60</f>
        <v>600</v>
      </c>
      <c r="J224" s="50">
        <f>3.5*24*3600</f>
        <v>302400</v>
      </c>
      <c r="K224" s="50">
        <f>7*24*3600</f>
        <v>604800</v>
      </c>
      <c r="L224" s="50">
        <f>14*24*3600</f>
        <v>1209600</v>
      </c>
      <c r="M224" s="50">
        <f>8*7*24*3600</f>
        <v>4838400</v>
      </c>
      <c r="N224" s="2" t="s">
        <v>313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5"/>
      <c r="BF224" s="5"/>
      <c r="BG224" s="5"/>
      <c r="BH224" s="5"/>
    </row>
    <row r="225" spans="1:73" x14ac:dyDescent="0.25">
      <c r="A225" s="30">
        <v>43509</v>
      </c>
      <c r="B225" s="48" t="s">
        <v>171</v>
      </c>
      <c r="C225" s="48" t="s">
        <v>170</v>
      </c>
      <c r="D225" s="46">
        <v>1923</v>
      </c>
      <c r="E225" s="56" t="s">
        <v>421</v>
      </c>
      <c r="F225" s="58" t="s">
        <v>168</v>
      </c>
      <c r="G225" s="46"/>
      <c r="H225" s="46" t="s">
        <v>343</v>
      </c>
      <c r="I225" s="49">
        <v>0.62</v>
      </c>
      <c r="J225" s="49">
        <v>0.45300000000000001</v>
      </c>
      <c r="K225" s="49">
        <v>0.34599999999999997</v>
      </c>
      <c r="L225" s="49">
        <v>0.30599999999999999</v>
      </c>
      <c r="M225" s="49">
        <v>0.24099999999999999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5"/>
      <c r="BF225" s="5"/>
      <c r="BG225" s="5"/>
      <c r="BH225" s="5"/>
    </row>
    <row r="226" spans="1:73" x14ac:dyDescent="0.25">
      <c r="A226" s="30">
        <v>43896</v>
      </c>
      <c r="B226" s="32"/>
      <c r="C226" s="29"/>
      <c r="D226" s="43"/>
      <c r="E226" s="44"/>
      <c r="F226" s="31"/>
      <c r="G226" s="31"/>
      <c r="H226" s="31"/>
      <c r="I226" s="33">
        <v>315360000</v>
      </c>
      <c r="J226" s="33">
        <v>630720000</v>
      </c>
      <c r="K226" s="33">
        <v>646080000</v>
      </c>
      <c r="L226" s="33">
        <v>12614400000</v>
      </c>
      <c r="M226" s="33">
        <v>1576800000</v>
      </c>
      <c r="N226" s="33">
        <v>1892160000</v>
      </c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"/>
      <c r="BF226" s="1"/>
      <c r="BG226" s="1"/>
      <c r="BH226" s="1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</row>
    <row r="227" spans="1:73" x14ac:dyDescent="0.25">
      <c r="A227" s="30">
        <v>43896</v>
      </c>
      <c r="B227" s="32" t="s">
        <v>212</v>
      </c>
      <c r="C227" s="32" t="s">
        <v>36</v>
      </c>
      <c r="D227" s="31">
        <v>1986</v>
      </c>
      <c r="E227" s="44">
        <v>1</v>
      </c>
      <c r="F227" s="31" t="s">
        <v>24</v>
      </c>
      <c r="G227" s="31" t="s">
        <v>197</v>
      </c>
      <c r="H227" s="31" t="s">
        <v>206</v>
      </c>
      <c r="I227" s="35">
        <v>0.64102564102564097</v>
      </c>
      <c r="J227" s="35">
        <v>0.56000000000000005</v>
      </c>
      <c r="K227" s="35">
        <v>0.37974683544303794</v>
      </c>
      <c r="L227" s="35">
        <v>0.45977011494252878</v>
      </c>
      <c r="M227" s="35">
        <v>0.33950617283950618</v>
      </c>
      <c r="N227" s="35">
        <v>6.006006006006006E-2</v>
      </c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"/>
      <c r="BF227" s="1"/>
      <c r="BG227" s="1"/>
      <c r="BH227" s="1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</row>
    <row r="228" spans="1:73" x14ac:dyDescent="0.25">
      <c r="A228" s="30">
        <v>43896</v>
      </c>
      <c r="B228" s="32"/>
      <c r="C228" s="29"/>
      <c r="D228" s="43"/>
      <c r="E228" s="44"/>
      <c r="F228" s="31"/>
      <c r="G228" s="31"/>
      <c r="H228" s="31"/>
      <c r="I228" s="33">
        <v>315360000</v>
      </c>
      <c r="J228" s="33">
        <v>630720000</v>
      </c>
      <c r="K228" s="33">
        <v>646080000</v>
      </c>
      <c r="L228" s="33">
        <v>12614400000</v>
      </c>
      <c r="M228" s="33">
        <v>1576800000</v>
      </c>
      <c r="N228" s="33">
        <v>1892160000</v>
      </c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"/>
      <c r="BF228" s="1"/>
      <c r="BG228" s="1"/>
      <c r="BH228" s="1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</row>
    <row r="229" spans="1:73" x14ac:dyDescent="0.25">
      <c r="A229" s="30">
        <v>43896</v>
      </c>
      <c r="B229" s="32" t="s">
        <v>212</v>
      </c>
      <c r="C229" s="32" t="s">
        <v>36</v>
      </c>
      <c r="D229" s="31">
        <v>1986</v>
      </c>
      <c r="E229" s="44">
        <v>1</v>
      </c>
      <c r="F229" s="31" t="s">
        <v>24</v>
      </c>
      <c r="G229" s="31" t="s">
        <v>197</v>
      </c>
      <c r="H229" s="31" t="s">
        <v>206</v>
      </c>
      <c r="I229" s="35">
        <v>0.83333333333333337</v>
      </c>
      <c r="J229" s="35">
        <v>0.79746835443037967</v>
      </c>
      <c r="K229" s="35">
        <v>0.67</v>
      </c>
      <c r="L229" s="35">
        <v>0.65789473684210531</v>
      </c>
      <c r="M229" s="35">
        <v>0.61224489795918369</v>
      </c>
      <c r="N229" s="35">
        <v>0.22988505747126439</v>
      </c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"/>
      <c r="BF229" s="1"/>
      <c r="BG229" s="1"/>
      <c r="BH229" s="1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</row>
    <row r="230" spans="1:73" x14ac:dyDescent="0.25">
      <c r="A230" s="30">
        <v>43896</v>
      </c>
      <c r="B230" s="32"/>
      <c r="C230" s="29"/>
      <c r="D230" s="43"/>
      <c r="E230" s="44"/>
      <c r="F230" s="31"/>
      <c r="G230" s="31"/>
      <c r="H230" s="31"/>
      <c r="I230" s="33">
        <v>315360000</v>
      </c>
      <c r="J230" s="33">
        <v>630720000</v>
      </c>
      <c r="K230" s="33">
        <v>646080000</v>
      </c>
      <c r="L230" s="33">
        <v>12614400000</v>
      </c>
      <c r="M230" s="33">
        <v>1576800000</v>
      </c>
      <c r="N230" s="35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"/>
      <c r="BF230" s="1"/>
      <c r="BG230" s="1"/>
      <c r="BH230" s="1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</row>
    <row r="231" spans="1:73" x14ac:dyDescent="0.25">
      <c r="A231" s="30">
        <v>43896</v>
      </c>
      <c r="B231" s="32" t="s">
        <v>212</v>
      </c>
      <c r="C231" s="32" t="s">
        <v>36</v>
      </c>
      <c r="D231" s="31">
        <v>1986</v>
      </c>
      <c r="E231" s="44">
        <v>1</v>
      </c>
      <c r="F231" s="31" t="s">
        <v>20</v>
      </c>
      <c r="G231" s="31" t="s">
        <v>197</v>
      </c>
      <c r="H231" s="31" t="s">
        <v>213</v>
      </c>
      <c r="I231" s="35">
        <v>0.64</v>
      </c>
      <c r="J231" s="35">
        <v>0.57894736842105265</v>
      </c>
      <c r="K231" s="35">
        <v>0.38095238095238099</v>
      </c>
      <c r="L231" s="35">
        <v>0.49</v>
      </c>
      <c r="M231" s="35">
        <v>0.28999999999999998</v>
      </c>
      <c r="N231" s="35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"/>
      <c r="BF231" s="1"/>
      <c r="BG231" s="1"/>
      <c r="BH231" s="1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</row>
    <row r="232" spans="1:73" x14ac:dyDescent="0.25">
      <c r="A232" s="30">
        <v>43896</v>
      </c>
      <c r="B232" s="32"/>
      <c r="C232" s="29"/>
      <c r="D232" s="43"/>
      <c r="E232" s="44"/>
      <c r="F232" s="31"/>
      <c r="G232" s="31"/>
      <c r="H232" s="31"/>
      <c r="I232" s="33">
        <v>315360000</v>
      </c>
      <c r="J232" s="33">
        <v>630720000</v>
      </c>
      <c r="K232" s="33">
        <v>646080000</v>
      </c>
      <c r="L232" s="33">
        <v>12614400000</v>
      </c>
      <c r="M232" s="33">
        <v>1576800000</v>
      </c>
      <c r="N232" s="35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"/>
      <c r="BF232" s="1"/>
      <c r="BG232" s="1"/>
      <c r="BH232" s="1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</row>
    <row r="233" spans="1:73" x14ac:dyDescent="0.25">
      <c r="A233" s="30">
        <v>43896</v>
      </c>
      <c r="B233" s="32" t="s">
        <v>212</v>
      </c>
      <c r="C233" s="32" t="s">
        <v>36</v>
      </c>
      <c r="D233" s="31">
        <v>1986</v>
      </c>
      <c r="E233" s="44">
        <v>1</v>
      </c>
      <c r="F233" s="31" t="s">
        <v>20</v>
      </c>
      <c r="G233" s="31" t="s">
        <v>197</v>
      </c>
      <c r="H233" s="31" t="s">
        <v>213</v>
      </c>
      <c r="I233" s="35">
        <v>0.92105263157894735</v>
      </c>
      <c r="J233" s="35">
        <v>0.87804878048780488</v>
      </c>
      <c r="K233" s="35">
        <v>0.77499999999999991</v>
      </c>
      <c r="L233" s="35">
        <v>0.88157894736842113</v>
      </c>
      <c r="M233" s="35">
        <v>0.47945205479452052</v>
      </c>
      <c r="N233" s="35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"/>
      <c r="BF233" s="1"/>
      <c r="BG233" s="1"/>
      <c r="BH233" s="1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</row>
    <row r="234" spans="1:73" x14ac:dyDescent="0.25">
      <c r="A234" s="27">
        <v>43978</v>
      </c>
      <c r="B234" s="1"/>
      <c r="C234" s="1"/>
      <c r="D234" s="23"/>
      <c r="E234" s="38"/>
      <c r="F234" s="23"/>
      <c r="G234" s="23"/>
      <c r="H234" s="23"/>
      <c r="I234" s="12">
        <f>60*60*24*265*5</f>
        <v>114480000</v>
      </c>
      <c r="J234" s="12">
        <f>60*60*24*265*15</f>
        <v>343440000</v>
      </c>
      <c r="K234" s="12">
        <f>60*60*24*265*25</f>
        <v>572400000</v>
      </c>
      <c r="L234" s="12">
        <f>60*60*24*265*35</f>
        <v>801360000</v>
      </c>
      <c r="M234" s="12">
        <f>60*60*24*265*45</f>
        <v>1030320000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"/>
      <c r="BF234" s="1"/>
      <c r="BG234" s="1"/>
      <c r="BH234" s="1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</row>
    <row r="235" spans="1:73" x14ac:dyDescent="0.25">
      <c r="A235" s="27">
        <v>43978</v>
      </c>
      <c r="B235" s="1" t="s">
        <v>505</v>
      </c>
      <c r="C235" s="1" t="s">
        <v>246</v>
      </c>
      <c r="D235" s="23">
        <v>1997</v>
      </c>
      <c r="E235" s="38">
        <v>1</v>
      </c>
      <c r="F235" s="23" t="s">
        <v>13</v>
      </c>
      <c r="G235" s="23" t="s">
        <v>197</v>
      </c>
      <c r="H235" s="23" t="s">
        <v>206</v>
      </c>
      <c r="I235" s="14">
        <v>0.61</v>
      </c>
      <c r="J235" s="18">
        <v>0.64292868762205901</v>
      </c>
      <c r="K235" s="18">
        <v>0.41549049349542999</v>
      </c>
      <c r="L235" s="18">
        <v>0.55731458237988796</v>
      </c>
      <c r="M235" s="18">
        <v>0.41427318060092999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"/>
      <c r="BF235" s="1"/>
      <c r="BG235" s="1"/>
      <c r="BH235" s="1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</row>
    <row r="236" spans="1:73" x14ac:dyDescent="0.25">
      <c r="A236" s="27">
        <v>43896</v>
      </c>
      <c r="B236" s="1"/>
      <c r="C236" s="1"/>
      <c r="D236" s="23"/>
      <c r="E236" s="38"/>
      <c r="F236" s="23"/>
      <c r="G236" s="23"/>
      <c r="H236" s="23"/>
      <c r="I236" s="12">
        <v>157680000</v>
      </c>
      <c r="J236" s="12">
        <v>473040000</v>
      </c>
      <c r="K236" s="12">
        <v>788400000</v>
      </c>
      <c r="L236" s="12">
        <v>1103760000</v>
      </c>
      <c r="M236" s="12">
        <v>1419120000</v>
      </c>
      <c r="N236" s="12">
        <v>1576800000</v>
      </c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"/>
      <c r="BF236" s="1"/>
      <c r="BG236" s="1"/>
      <c r="BH236" s="1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</row>
    <row r="237" spans="1:73" x14ac:dyDescent="0.25">
      <c r="A237" s="27">
        <v>43896</v>
      </c>
      <c r="B237" s="1" t="s">
        <v>214</v>
      </c>
      <c r="C237" s="1" t="s">
        <v>215</v>
      </c>
      <c r="D237" s="23">
        <v>1989</v>
      </c>
      <c r="E237" s="38">
        <v>1</v>
      </c>
      <c r="F237" s="23" t="s">
        <v>32</v>
      </c>
      <c r="G237" s="23" t="s">
        <v>197</v>
      </c>
      <c r="H237" s="23" t="s">
        <v>244</v>
      </c>
      <c r="I237" s="18">
        <v>0.54838709677419362</v>
      </c>
      <c r="J237" s="18">
        <v>0.4</v>
      </c>
      <c r="K237" s="18">
        <v>0.43</v>
      </c>
      <c r="L237" s="18">
        <v>0.33333333333333331</v>
      </c>
      <c r="M237" s="18">
        <v>0.53</v>
      </c>
      <c r="N237" s="18">
        <v>0.52631578947368418</v>
      </c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"/>
      <c r="BF237" s="1"/>
      <c r="BG237" s="1"/>
      <c r="BH237" s="1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</row>
    <row r="238" spans="1:73" x14ac:dyDescent="0.25">
      <c r="A238" s="27">
        <v>43896</v>
      </c>
      <c r="B238" s="1"/>
      <c r="C238" s="1"/>
      <c r="D238" s="23"/>
      <c r="E238" s="38"/>
      <c r="F238" s="23"/>
      <c r="G238" s="23"/>
      <c r="H238" s="23"/>
      <c r="I238" s="12">
        <v>157680000</v>
      </c>
      <c r="J238" s="12">
        <v>473040000</v>
      </c>
      <c r="K238" s="12">
        <v>788400000</v>
      </c>
      <c r="L238" s="12">
        <v>1103760000</v>
      </c>
      <c r="M238" s="12">
        <v>1419120000</v>
      </c>
      <c r="N238" s="12">
        <v>1576800000</v>
      </c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"/>
      <c r="BF238" s="1"/>
      <c r="BG238" s="1"/>
      <c r="BH238" s="1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</row>
    <row r="239" spans="1:73" x14ac:dyDescent="0.25">
      <c r="A239" s="27">
        <v>43896</v>
      </c>
      <c r="B239" s="1" t="s">
        <v>214</v>
      </c>
      <c r="C239" s="1" t="s">
        <v>215</v>
      </c>
      <c r="D239" s="23">
        <v>1989</v>
      </c>
      <c r="E239" s="38">
        <v>1</v>
      </c>
      <c r="F239" s="23" t="s">
        <v>32</v>
      </c>
      <c r="G239" s="23" t="s">
        <v>197</v>
      </c>
      <c r="H239" s="23" t="s">
        <v>244</v>
      </c>
      <c r="I239" s="18">
        <v>0.78</v>
      </c>
      <c r="J239" s="18">
        <v>0.76923076923076927</v>
      </c>
      <c r="K239" s="18">
        <v>0.83333333333333337</v>
      </c>
      <c r="L239" s="18">
        <v>0.76923076923076927</v>
      </c>
      <c r="M239" s="18">
        <v>0.73913043478260876</v>
      </c>
      <c r="N239" s="18">
        <v>0.68181818181818177</v>
      </c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"/>
      <c r="BF239" s="1"/>
      <c r="BG239" s="1"/>
      <c r="BH239" s="1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</row>
    <row r="240" spans="1:73" x14ac:dyDescent="0.25">
      <c r="A240" s="30">
        <v>43978</v>
      </c>
      <c r="B240" s="32"/>
      <c r="C240" s="32"/>
      <c r="D240" s="31"/>
      <c r="E240" s="44"/>
      <c r="F240" s="31"/>
      <c r="G240" s="31"/>
      <c r="H240" s="31"/>
      <c r="I240" s="33">
        <v>30</v>
      </c>
      <c r="J240" s="33">
        <f>60*20</f>
        <v>1200</v>
      </c>
      <c r="K240" s="33">
        <f>60*60*24*4</f>
        <v>345600</v>
      </c>
      <c r="L240" s="33">
        <f>60*60*24*11</f>
        <v>950400</v>
      </c>
      <c r="M240" s="33">
        <f>60*60*24*30</f>
        <v>2592000</v>
      </c>
      <c r="N240" s="18"/>
      <c r="O240" s="2" t="s">
        <v>500</v>
      </c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"/>
      <c r="BF240" s="1"/>
      <c r="BG240" s="1"/>
      <c r="BH240" s="1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</row>
    <row r="241" spans="1:73" x14ac:dyDescent="0.25">
      <c r="A241" s="30">
        <v>43978</v>
      </c>
      <c r="B241" s="32" t="s">
        <v>506</v>
      </c>
      <c r="C241" s="32" t="s">
        <v>507</v>
      </c>
      <c r="D241" s="31">
        <v>2012</v>
      </c>
      <c r="E241" s="44">
        <v>1</v>
      </c>
      <c r="F241" s="31" t="s">
        <v>24</v>
      </c>
      <c r="G241" s="31" t="s">
        <v>197</v>
      </c>
      <c r="H241" s="31" t="s">
        <v>397</v>
      </c>
      <c r="I241" s="35">
        <f>(0.8118+0.8534)/2</f>
        <v>0.83260000000000001</v>
      </c>
      <c r="J241" s="35">
        <f>(0.7059+0.7133)/2</f>
        <v>0.70960000000000001</v>
      </c>
      <c r="K241" s="35">
        <f>(0.6012+0.88)/2</f>
        <v>0.74059999999999993</v>
      </c>
      <c r="L241" s="35">
        <f>(0.6471+0.9333)/2</f>
        <v>0.79020000000000001</v>
      </c>
      <c r="M241" s="35">
        <f>(0.5383+0.9)/2</f>
        <v>0.71914999999999996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"/>
      <c r="BF241" s="1"/>
      <c r="BG241" s="1"/>
      <c r="BH241" s="1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</row>
    <row r="242" spans="1:73" x14ac:dyDescent="0.25">
      <c r="A242" s="30">
        <v>43978</v>
      </c>
      <c r="B242" s="32"/>
      <c r="C242" s="32"/>
      <c r="D242" s="31"/>
      <c r="E242" s="44"/>
      <c r="F242" s="31"/>
      <c r="G242" s="31"/>
      <c r="H242" s="31"/>
      <c r="I242" s="33">
        <v>30</v>
      </c>
      <c r="J242" s="33">
        <f>60*20</f>
        <v>1200</v>
      </c>
      <c r="K242" s="33">
        <f>60*60*24*4</f>
        <v>345600</v>
      </c>
      <c r="L242" s="33">
        <f>60*60*24*11</f>
        <v>950400</v>
      </c>
      <c r="M242" s="33">
        <f>60*60*24*30</f>
        <v>2592000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"/>
      <c r="BF242" s="1"/>
      <c r="BG242" s="1"/>
      <c r="BH242" s="1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</row>
    <row r="243" spans="1:73" x14ac:dyDescent="0.25">
      <c r="A243" s="30">
        <v>43978</v>
      </c>
      <c r="B243" s="32" t="s">
        <v>506</v>
      </c>
      <c r="C243" s="32" t="s">
        <v>507</v>
      </c>
      <c r="D243" s="31">
        <v>2012</v>
      </c>
      <c r="E243" s="44">
        <v>1</v>
      </c>
      <c r="F243" s="31" t="s">
        <v>24</v>
      </c>
      <c r="G243" s="31" t="s">
        <v>197</v>
      </c>
      <c r="H243" s="31" t="s">
        <v>406</v>
      </c>
      <c r="I243" s="35">
        <v>0.87809999999999999</v>
      </c>
      <c r="J243" s="35">
        <v>0.84689999999999999</v>
      </c>
      <c r="K243" s="35">
        <v>0.74380000000000002</v>
      </c>
      <c r="L243" s="35">
        <v>0.68359999999999999</v>
      </c>
      <c r="M243" s="35">
        <v>0.67810000000000004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"/>
      <c r="BF243" s="1"/>
      <c r="BG243" s="1"/>
      <c r="BH243" s="1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</row>
    <row r="244" spans="1:73" x14ac:dyDescent="0.25">
      <c r="A244" s="30">
        <v>43978</v>
      </c>
      <c r="B244" s="32"/>
      <c r="C244" s="32"/>
      <c r="D244" s="31"/>
      <c r="E244" s="44"/>
      <c r="F244" s="31"/>
      <c r="G244" s="31"/>
      <c r="H244" s="31"/>
      <c r="I244" s="33">
        <v>30</v>
      </c>
      <c r="J244" s="33">
        <f>60*20</f>
        <v>1200</v>
      </c>
      <c r="K244" s="33">
        <f>60*60*24*4</f>
        <v>345600</v>
      </c>
      <c r="L244" s="33">
        <f>60*60*24*11</f>
        <v>950400</v>
      </c>
      <c r="M244" s="33">
        <f>60*60*24*30</f>
        <v>2592000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"/>
      <c r="BF244" s="1"/>
      <c r="BG244" s="1"/>
      <c r="BH244" s="1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</row>
    <row r="245" spans="1:73" x14ac:dyDescent="0.25">
      <c r="A245" s="30">
        <v>43978</v>
      </c>
      <c r="B245" s="32" t="s">
        <v>506</v>
      </c>
      <c r="C245" s="32" t="s">
        <v>507</v>
      </c>
      <c r="D245" s="31">
        <v>2012</v>
      </c>
      <c r="E245" s="44">
        <v>2</v>
      </c>
      <c r="F245" s="31" t="s">
        <v>143</v>
      </c>
      <c r="G245" s="31" t="s">
        <v>197</v>
      </c>
      <c r="H245" s="31" t="s">
        <v>12</v>
      </c>
      <c r="I245" s="35">
        <v>0.8</v>
      </c>
      <c r="J245" s="35">
        <v>0.58299999999999996</v>
      </c>
      <c r="K245" s="35">
        <v>0.25</v>
      </c>
      <c r="L245" s="35">
        <v>0.22220000000000001</v>
      </c>
      <c r="M245" s="35">
        <v>8.3400000000000002E-2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"/>
      <c r="BF245" s="1"/>
      <c r="BG245" s="1"/>
      <c r="BH245" s="1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</row>
    <row r="246" spans="1:73" x14ac:dyDescent="0.25">
      <c r="A246" s="30">
        <v>43978</v>
      </c>
      <c r="B246" s="32"/>
      <c r="C246" s="32"/>
      <c r="D246" s="31"/>
      <c r="E246" s="44"/>
      <c r="F246" s="31"/>
      <c r="G246" s="31"/>
      <c r="H246" s="31"/>
      <c r="I246" s="33">
        <v>30</v>
      </c>
      <c r="J246" s="33">
        <f>60*20</f>
        <v>1200</v>
      </c>
      <c r="K246" s="33">
        <f>60*60*24*4</f>
        <v>345600</v>
      </c>
      <c r="L246" s="33">
        <f>60*60*24*11</f>
        <v>950400</v>
      </c>
      <c r="M246" s="33">
        <f>60*60*24*30</f>
        <v>2592000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"/>
      <c r="BF246" s="1"/>
      <c r="BG246" s="1"/>
      <c r="BH246" s="1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</row>
    <row r="247" spans="1:73" x14ac:dyDescent="0.25">
      <c r="A247" s="30">
        <v>43978</v>
      </c>
      <c r="B247" s="32" t="s">
        <v>506</v>
      </c>
      <c r="C247" s="32" t="s">
        <v>507</v>
      </c>
      <c r="D247" s="31">
        <v>2012</v>
      </c>
      <c r="E247" s="44">
        <v>2</v>
      </c>
      <c r="F247" s="31" t="s">
        <v>143</v>
      </c>
      <c r="G247" s="31" t="s">
        <v>197</v>
      </c>
      <c r="H247" s="31" t="s">
        <v>397</v>
      </c>
      <c r="I247" s="35">
        <f>(0.853+0.8444)/2</f>
        <v>0.84870000000000001</v>
      </c>
      <c r="J247" s="35">
        <f>(0.5824+0.6)/2</f>
        <v>0.59119999999999995</v>
      </c>
      <c r="K247" s="35">
        <f>(0.4706+0.8222)/2</f>
        <v>0.64640000000000009</v>
      </c>
      <c r="L247" s="35">
        <f>(0.4314+0.8667)/2</f>
        <v>0.64905000000000002</v>
      </c>
      <c r="M247" s="35">
        <f>(0.3236+0.8222)/2</f>
        <v>0.57289999999999996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"/>
      <c r="BF247" s="1"/>
      <c r="BG247" s="1"/>
      <c r="BH247" s="1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</row>
    <row r="248" spans="1:73" x14ac:dyDescent="0.25">
      <c r="A248" s="30">
        <v>43978</v>
      </c>
      <c r="B248" s="32"/>
      <c r="C248" s="32"/>
      <c r="D248" s="31"/>
      <c r="E248" s="44"/>
      <c r="F248" s="31"/>
      <c r="G248" s="31"/>
      <c r="H248" s="31"/>
      <c r="I248" s="33">
        <v>30</v>
      </c>
      <c r="J248" s="33">
        <f>60*20</f>
        <v>1200</v>
      </c>
      <c r="K248" s="33">
        <f>60*60*24*4</f>
        <v>345600</v>
      </c>
      <c r="L248" s="33">
        <f>60*60*24*11</f>
        <v>950400</v>
      </c>
      <c r="M248" s="33">
        <f>60*60*24*30</f>
        <v>2592000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"/>
      <c r="BF248" s="1"/>
      <c r="BG248" s="1"/>
      <c r="BH248" s="1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</row>
    <row r="249" spans="1:73" x14ac:dyDescent="0.25">
      <c r="A249" s="30">
        <v>43978</v>
      </c>
      <c r="B249" s="32" t="s">
        <v>506</v>
      </c>
      <c r="C249" s="32" t="s">
        <v>507</v>
      </c>
      <c r="D249" s="31">
        <v>2012</v>
      </c>
      <c r="E249" s="44">
        <v>2</v>
      </c>
      <c r="F249" s="31" t="s">
        <v>143</v>
      </c>
      <c r="G249" s="31" t="s">
        <v>197</v>
      </c>
      <c r="H249" s="31" t="s">
        <v>406</v>
      </c>
      <c r="I249" s="35">
        <v>0.85940000000000005</v>
      </c>
      <c r="J249" s="35">
        <v>0.85160000000000002</v>
      </c>
      <c r="K249" s="35">
        <v>0.60160000000000002</v>
      </c>
      <c r="L249" s="35">
        <v>0.53129999999999999</v>
      </c>
      <c r="M249" s="35">
        <v>0.37730000000000002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"/>
      <c r="BF249" s="1"/>
      <c r="BG249" s="1"/>
      <c r="BH249" s="1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</row>
    <row r="250" spans="1:73" x14ac:dyDescent="0.25">
      <c r="A250" s="27">
        <v>43509</v>
      </c>
      <c r="B250" s="1"/>
      <c r="C250" s="1"/>
      <c r="D250" s="23"/>
      <c r="E250" s="38"/>
      <c r="F250" s="23"/>
      <c r="G250" s="23"/>
      <c r="H250" s="23"/>
      <c r="I250" s="12">
        <f>2*60</f>
        <v>120</v>
      </c>
      <c r="J250" s="12">
        <f>20*60</f>
        <v>1200</v>
      </c>
      <c r="K250" s="12">
        <f>45*60</f>
        <v>2700</v>
      </c>
      <c r="L250" s="12">
        <f>24*3600*1</f>
        <v>86400</v>
      </c>
      <c r="M250" s="12">
        <f>24*3600*7</f>
        <v>604800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"/>
      <c r="BF250" s="1"/>
      <c r="BG250" s="1"/>
      <c r="BH250" s="1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</row>
    <row r="251" spans="1:73" x14ac:dyDescent="0.25">
      <c r="A251" s="27">
        <v>43509</v>
      </c>
      <c r="B251" s="1" t="s">
        <v>74</v>
      </c>
      <c r="C251" s="1" t="s">
        <v>15</v>
      </c>
      <c r="D251" s="23">
        <v>1963</v>
      </c>
      <c r="E251" s="38">
        <v>1</v>
      </c>
      <c r="F251" s="23" t="s">
        <v>32</v>
      </c>
      <c r="G251" s="23" t="s">
        <v>423</v>
      </c>
      <c r="H251" s="23" t="s">
        <v>61</v>
      </c>
      <c r="I251" s="18">
        <v>0.45</v>
      </c>
      <c r="J251" s="18">
        <v>0.2</v>
      </c>
      <c r="K251" s="18">
        <v>0.12</v>
      </c>
      <c r="L251" s="18">
        <v>0.12</v>
      </c>
      <c r="M251" s="18">
        <v>1E-3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"/>
      <c r="BF251" s="1"/>
      <c r="BG251" s="1"/>
      <c r="BH251" s="1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</row>
    <row r="252" spans="1:73" x14ac:dyDescent="0.25">
      <c r="A252" s="27">
        <v>43896</v>
      </c>
      <c r="B252" s="1"/>
      <c r="C252" s="1"/>
      <c r="D252" s="23"/>
      <c r="E252" s="38"/>
      <c r="F252" s="23"/>
      <c r="G252" s="23"/>
      <c r="H252" s="23"/>
      <c r="I252" s="12">
        <v>315360000</v>
      </c>
      <c r="J252" s="12">
        <v>630720000</v>
      </c>
      <c r="K252" s="12">
        <v>646080000</v>
      </c>
      <c r="L252" s="12">
        <v>12614400000</v>
      </c>
      <c r="M252" s="12">
        <v>1576800000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"/>
      <c r="BF252" s="1"/>
      <c r="BG252" s="1"/>
      <c r="BH252" s="1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</row>
    <row r="253" spans="1:73" x14ac:dyDescent="0.25">
      <c r="A253" s="27">
        <v>43896</v>
      </c>
      <c r="B253" s="1" t="s">
        <v>216</v>
      </c>
      <c r="C253" s="1" t="s">
        <v>36</v>
      </c>
      <c r="D253" s="23">
        <v>1989</v>
      </c>
      <c r="E253" s="38">
        <v>1</v>
      </c>
      <c r="F253" s="23" t="s">
        <v>25</v>
      </c>
      <c r="G253" s="23" t="s">
        <v>197</v>
      </c>
      <c r="H253" s="23" t="s">
        <v>206</v>
      </c>
      <c r="I253" s="18">
        <v>0.66666666666666674</v>
      </c>
      <c r="J253" s="18">
        <v>0.55555555555555558</v>
      </c>
      <c r="K253" s="18">
        <v>0.5714285714285714</v>
      </c>
      <c r="L253" s="18">
        <v>0.52380952380952384</v>
      </c>
      <c r="M253" s="18">
        <v>0.56250000000000011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"/>
      <c r="BF253" s="1"/>
      <c r="BG253" s="1"/>
      <c r="BH253" s="1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</row>
    <row r="254" spans="1:73" x14ac:dyDescent="0.25">
      <c r="A254" s="27">
        <v>43896</v>
      </c>
      <c r="B254" s="1"/>
      <c r="C254" s="1"/>
      <c r="D254" s="23"/>
      <c r="E254" s="38"/>
      <c r="F254" s="23"/>
      <c r="G254" s="23"/>
      <c r="H254" s="23"/>
      <c r="I254" s="12">
        <v>315360000</v>
      </c>
      <c r="J254" s="12">
        <v>630720000</v>
      </c>
      <c r="K254" s="12">
        <v>646080000</v>
      </c>
      <c r="L254" s="12">
        <v>12614400000</v>
      </c>
      <c r="M254" s="12">
        <v>1576800000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"/>
      <c r="BF254" s="1"/>
      <c r="BG254" s="1"/>
      <c r="BH254" s="1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</row>
    <row r="255" spans="1:73" x14ac:dyDescent="0.25">
      <c r="A255" s="27">
        <v>43896</v>
      </c>
      <c r="B255" s="1" t="s">
        <v>216</v>
      </c>
      <c r="C255" s="1" t="s">
        <v>36</v>
      </c>
      <c r="D255" s="23">
        <v>1989</v>
      </c>
      <c r="E255" s="38">
        <v>1</v>
      </c>
      <c r="F255" s="23" t="s">
        <v>13</v>
      </c>
      <c r="G255" s="23" t="s">
        <v>197</v>
      </c>
      <c r="H255" s="23" t="s">
        <v>206</v>
      </c>
      <c r="I255" s="18">
        <v>0.79999999999999993</v>
      </c>
      <c r="J255" s="18">
        <v>0.79166666666666674</v>
      </c>
      <c r="K255" s="18">
        <v>0.82352941176470584</v>
      </c>
      <c r="L255" s="18">
        <v>0.6811594202898551</v>
      </c>
      <c r="M255" s="18">
        <v>0.69696969696969702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"/>
      <c r="BF255" s="1"/>
      <c r="BG255" s="1"/>
      <c r="BH255" s="1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</row>
    <row r="256" spans="1:73" x14ac:dyDescent="0.25">
      <c r="A256" s="27">
        <v>43951</v>
      </c>
      <c r="B256" s="1"/>
      <c r="C256" s="1"/>
      <c r="D256" s="23"/>
      <c r="E256" s="38"/>
      <c r="F256" s="23"/>
      <c r="G256" s="23"/>
      <c r="H256" s="23"/>
      <c r="I256" s="12">
        <v>60</v>
      </c>
      <c r="J256" s="12">
        <f>60*20</f>
        <v>1200</v>
      </c>
      <c r="K256" s="12">
        <f>60*90</f>
        <v>5400</v>
      </c>
      <c r="L256" s="12">
        <f>60*60*6</f>
        <v>21600</v>
      </c>
      <c r="M256" s="12">
        <f>60*60*24</f>
        <v>86400</v>
      </c>
      <c r="N256" s="12">
        <f>60*60*72</f>
        <v>259200</v>
      </c>
      <c r="O256" s="12">
        <f>60*60*24*7</f>
        <v>604800</v>
      </c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"/>
      <c r="BF256" s="1"/>
      <c r="BG256" s="1"/>
      <c r="BH256" s="1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</row>
    <row r="257" spans="1:73" x14ac:dyDescent="0.25">
      <c r="A257" s="27">
        <v>43951</v>
      </c>
      <c r="B257" s="1" t="s">
        <v>482</v>
      </c>
      <c r="C257" s="1" t="s">
        <v>483</v>
      </c>
      <c r="D257" s="23">
        <v>1963</v>
      </c>
      <c r="E257" s="38">
        <v>1</v>
      </c>
      <c r="F257" s="23" t="s">
        <v>32</v>
      </c>
      <c r="G257" s="23" t="s">
        <v>484</v>
      </c>
      <c r="H257" s="23" t="s">
        <v>190</v>
      </c>
      <c r="I257" s="18">
        <v>0.66335801960545604</v>
      </c>
      <c r="J257" s="18">
        <v>0.67386744314511193</v>
      </c>
      <c r="K257" s="18">
        <v>0.64669731384647</v>
      </c>
      <c r="L257" s="18">
        <v>0.74575037216661799</v>
      </c>
      <c r="M257" s="18">
        <v>0.646471485951295</v>
      </c>
      <c r="N257" s="18">
        <v>0.61430730195586403</v>
      </c>
      <c r="O257" s="18">
        <v>0.50158210604173803</v>
      </c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"/>
      <c r="BF257" s="1"/>
      <c r="BG257" s="1"/>
      <c r="BH257" s="1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</row>
    <row r="258" spans="1:73" x14ac:dyDescent="0.25">
      <c r="A258" s="27">
        <v>43951</v>
      </c>
      <c r="B258" s="1"/>
      <c r="C258" s="1"/>
      <c r="D258" s="23"/>
      <c r="E258" s="38"/>
      <c r="F258" s="23"/>
      <c r="G258" s="23"/>
      <c r="H258" s="23"/>
      <c r="I258" s="12">
        <v>60</v>
      </c>
      <c r="J258" s="12">
        <f>60*20</f>
        <v>1200</v>
      </c>
      <c r="K258" s="12">
        <f>60*90</f>
        <v>5400</v>
      </c>
      <c r="L258" s="12">
        <f>60*60*6</f>
        <v>21600</v>
      </c>
      <c r="M258" s="12">
        <f>60*60*24</f>
        <v>86400</v>
      </c>
      <c r="N258" s="12">
        <f>60*60*72</f>
        <v>259200</v>
      </c>
      <c r="O258" s="12">
        <f>60*60*24*7</f>
        <v>604800</v>
      </c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"/>
      <c r="BF258" s="1"/>
      <c r="BG258" s="1"/>
      <c r="BH258" s="1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</row>
    <row r="259" spans="1:73" x14ac:dyDescent="0.25">
      <c r="A259" s="27">
        <v>43951</v>
      </c>
      <c r="B259" s="1" t="s">
        <v>482</v>
      </c>
      <c r="C259" s="1" t="s">
        <v>483</v>
      </c>
      <c r="D259" s="23">
        <v>1963</v>
      </c>
      <c r="E259" s="38">
        <v>1</v>
      </c>
      <c r="F259" s="23" t="s">
        <v>32</v>
      </c>
      <c r="G259" s="23" t="s">
        <v>485</v>
      </c>
      <c r="H259" s="23" t="s">
        <v>190</v>
      </c>
      <c r="I259" s="18">
        <v>0.943465503197355</v>
      </c>
      <c r="J259" s="18">
        <v>0.88381323321505101</v>
      </c>
      <c r="K259" s="18">
        <v>0.89381538663196203</v>
      </c>
      <c r="L259" s="18">
        <v>0.85150580018163491</v>
      </c>
      <c r="M259" s="18">
        <v>0.72971771513103001</v>
      </c>
      <c r="N259" s="18">
        <v>0.63367906597882107</v>
      </c>
      <c r="O259" s="18">
        <v>0.41257220968663005</v>
      </c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"/>
      <c r="BF259" s="1"/>
      <c r="BG259" s="1"/>
      <c r="BH259" s="1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</row>
    <row r="260" spans="1:73" x14ac:dyDescent="0.25">
      <c r="A260" s="27">
        <v>43951</v>
      </c>
      <c r="B260" s="1"/>
      <c r="C260" s="1"/>
      <c r="D260" s="23"/>
      <c r="E260" s="38"/>
      <c r="F260" s="23"/>
      <c r="G260" s="23"/>
      <c r="H260" s="23"/>
      <c r="I260" s="12">
        <v>60</v>
      </c>
      <c r="J260" s="12">
        <f>60*20</f>
        <v>1200</v>
      </c>
      <c r="K260" s="12">
        <f>60*90</f>
        <v>5400</v>
      </c>
      <c r="L260" s="12">
        <f>60*60*6</f>
        <v>21600</v>
      </c>
      <c r="M260" s="12">
        <f>60*60*24</f>
        <v>86400</v>
      </c>
      <c r="N260" s="12">
        <f>60*60*72</f>
        <v>259200</v>
      </c>
      <c r="O260" s="12">
        <f>60*60*24*7</f>
        <v>604800</v>
      </c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"/>
      <c r="BF260" s="1"/>
      <c r="BG260" s="1"/>
      <c r="BH260" s="1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</row>
    <row r="261" spans="1:73" x14ac:dyDescent="0.25">
      <c r="A261" s="27">
        <v>43951</v>
      </c>
      <c r="B261" s="1" t="s">
        <v>482</v>
      </c>
      <c r="C261" s="1" t="s">
        <v>483</v>
      </c>
      <c r="D261" s="23">
        <v>1963</v>
      </c>
      <c r="E261" s="38">
        <v>1</v>
      </c>
      <c r="F261" s="23" t="s">
        <v>32</v>
      </c>
      <c r="G261" s="23" t="s">
        <v>294</v>
      </c>
      <c r="H261" s="23" t="s">
        <v>190</v>
      </c>
      <c r="I261" s="18">
        <v>0.98534927486026103</v>
      </c>
      <c r="J261" s="18">
        <v>0.94769163069836204</v>
      </c>
      <c r="K261" s="18">
        <v>0.852980422631475</v>
      </c>
      <c r="L261" s="18">
        <v>0.90072336082840998</v>
      </c>
      <c r="M261" s="18">
        <v>0.86269944853801694</v>
      </c>
      <c r="N261" s="18">
        <v>0.776086024324248</v>
      </c>
      <c r="O261" s="18">
        <v>0.55498197683672301</v>
      </c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"/>
      <c r="BF261" s="1"/>
      <c r="BG261" s="1"/>
      <c r="BH261" s="1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</row>
    <row r="262" spans="1:73" x14ac:dyDescent="0.25">
      <c r="A262" s="30">
        <v>43509</v>
      </c>
      <c r="B262" s="32"/>
      <c r="C262" s="32"/>
      <c r="D262" s="31"/>
      <c r="E262" s="44"/>
      <c r="F262" s="31"/>
      <c r="G262" s="31"/>
      <c r="H262" s="31"/>
      <c r="I262" s="33">
        <f>2*24*3600</f>
        <v>172800</v>
      </c>
      <c r="J262" s="33">
        <f>7*24*3600*1</f>
        <v>604800</v>
      </c>
      <c r="K262" s="33">
        <f>7*24*3600*2.143</f>
        <v>1296086.3999999999</v>
      </c>
      <c r="L262" s="33">
        <f>7*24*3600*4.429</f>
        <v>2678659.2000000002</v>
      </c>
      <c r="M262" s="33">
        <f>7*24*3600*6.571</f>
        <v>3974140.8</v>
      </c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"/>
      <c r="BF262" s="1"/>
      <c r="BG262" s="1"/>
      <c r="BH262" s="1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</row>
    <row r="263" spans="1:73" x14ac:dyDescent="0.25">
      <c r="A263" s="30">
        <v>43509</v>
      </c>
      <c r="B263" s="32" t="s">
        <v>90</v>
      </c>
      <c r="C263" s="32" t="s">
        <v>48</v>
      </c>
      <c r="D263" s="31">
        <v>2009</v>
      </c>
      <c r="E263" s="44">
        <v>1</v>
      </c>
      <c r="F263" s="31" t="s">
        <v>17</v>
      </c>
      <c r="G263" s="31" t="s">
        <v>464</v>
      </c>
      <c r="H263" s="31" t="s">
        <v>375</v>
      </c>
      <c r="I263" s="35">
        <v>0.88</v>
      </c>
      <c r="J263" s="35">
        <v>0.79500000000000004</v>
      </c>
      <c r="K263" s="35">
        <v>0.74</v>
      </c>
      <c r="L263" s="35">
        <v>0.625</v>
      </c>
      <c r="M263" s="35">
        <v>0.6</v>
      </c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"/>
      <c r="BF263" s="1"/>
      <c r="BG263" s="1"/>
      <c r="BH263" s="1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</row>
    <row r="264" spans="1:73" x14ac:dyDescent="0.25">
      <c r="A264" s="30">
        <v>43509</v>
      </c>
      <c r="B264" s="32"/>
      <c r="C264" s="32"/>
      <c r="D264" s="31"/>
      <c r="E264" s="44"/>
      <c r="F264" s="31"/>
      <c r="G264" s="31"/>
      <c r="H264" s="31"/>
      <c r="I264" s="33">
        <f>2*24*3600</f>
        <v>172800</v>
      </c>
      <c r="J264" s="33">
        <f>7*24*3600*1</f>
        <v>604800</v>
      </c>
      <c r="K264" s="33">
        <f>7*24*3600*2.143</f>
        <v>1296086.3999999999</v>
      </c>
      <c r="L264" s="33">
        <f>7*24*3600*4.429</f>
        <v>2678659.2000000002</v>
      </c>
      <c r="M264" s="33">
        <f>7*24*3600*6.571</f>
        <v>3974140.8</v>
      </c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"/>
      <c r="BF264" s="1"/>
      <c r="BG264" s="1"/>
      <c r="BH264" s="1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</row>
    <row r="265" spans="1:73" x14ac:dyDescent="0.25">
      <c r="A265" s="30">
        <v>43509</v>
      </c>
      <c r="B265" s="32" t="s">
        <v>90</v>
      </c>
      <c r="C265" s="32" t="s">
        <v>48</v>
      </c>
      <c r="D265" s="31">
        <v>2009</v>
      </c>
      <c r="E265" s="44">
        <v>1</v>
      </c>
      <c r="F265" s="31" t="s">
        <v>17</v>
      </c>
      <c r="G265" s="31" t="s">
        <v>465</v>
      </c>
      <c r="H265" s="31" t="s">
        <v>375</v>
      </c>
      <c r="I265" s="35">
        <v>0.84</v>
      </c>
      <c r="J265" s="35">
        <v>0.81</v>
      </c>
      <c r="K265" s="35">
        <v>0.755</v>
      </c>
      <c r="L265" s="35">
        <v>0.63500000000000001</v>
      </c>
      <c r="M265" s="35">
        <v>0.625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"/>
      <c r="BF265" s="1"/>
      <c r="BG265" s="1"/>
      <c r="BH265" s="1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</row>
    <row r="266" spans="1:73" x14ac:dyDescent="0.25">
      <c r="A266" s="30">
        <v>43509</v>
      </c>
      <c r="B266" s="32"/>
      <c r="C266" s="32"/>
      <c r="D266" s="31"/>
      <c r="E266" s="44"/>
      <c r="F266" s="31"/>
      <c r="G266" s="31"/>
      <c r="H266" s="31"/>
      <c r="I266" s="33">
        <f>2*24*3600</f>
        <v>172800</v>
      </c>
      <c r="J266" s="33">
        <f>7*24*3600*1</f>
        <v>604800</v>
      </c>
      <c r="K266" s="33">
        <f>7*24*3600*2.143</f>
        <v>1296086.3999999999</v>
      </c>
      <c r="L266" s="33">
        <f>7*24*3600*4.429</f>
        <v>2678659.2000000002</v>
      </c>
      <c r="M266" s="33">
        <f>7*24*3600*6.571</f>
        <v>3974140.8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"/>
      <c r="BF266" s="1"/>
      <c r="BG266" s="1"/>
      <c r="BH266" s="1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</row>
    <row r="267" spans="1:73" x14ac:dyDescent="0.25">
      <c r="A267" s="30">
        <v>43509</v>
      </c>
      <c r="B267" s="32" t="s">
        <v>90</v>
      </c>
      <c r="C267" s="32" t="s">
        <v>48</v>
      </c>
      <c r="D267" s="31">
        <v>2009</v>
      </c>
      <c r="E267" s="44">
        <v>1</v>
      </c>
      <c r="F267" s="31" t="s">
        <v>17</v>
      </c>
      <c r="G267" s="31" t="s">
        <v>466</v>
      </c>
      <c r="H267" s="31" t="s">
        <v>375</v>
      </c>
      <c r="I267" s="35">
        <v>0.86</v>
      </c>
      <c r="J267" s="35">
        <v>0.81499999999999995</v>
      </c>
      <c r="K267" s="35">
        <v>0.76500000000000001</v>
      </c>
      <c r="L267" s="35">
        <v>0.66500000000000004</v>
      </c>
      <c r="M267" s="35">
        <v>0.62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"/>
      <c r="BF267" s="1"/>
      <c r="BG267" s="1"/>
      <c r="BH267" s="1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</row>
    <row r="268" spans="1:73" x14ac:dyDescent="0.25">
      <c r="A268" s="30">
        <v>43509</v>
      </c>
      <c r="B268" s="32"/>
      <c r="C268" s="32"/>
      <c r="D268" s="31"/>
      <c r="E268" s="44"/>
      <c r="F268" s="31"/>
      <c r="G268" s="31"/>
      <c r="H268" s="31"/>
      <c r="I268" s="33">
        <f>2*24*3600</f>
        <v>172800</v>
      </c>
      <c r="J268" s="33">
        <f>7*24*3600*1</f>
        <v>604800</v>
      </c>
      <c r="K268" s="33">
        <f>7*24*3600*2.143</f>
        <v>1296086.3999999999</v>
      </c>
      <c r="L268" s="33">
        <f>7*24*3600*4.429</f>
        <v>2678659.2000000002</v>
      </c>
      <c r="M268" s="33">
        <f>7*24*3600*6.571</f>
        <v>3974140.8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"/>
      <c r="BF268" s="1"/>
      <c r="BG268" s="1"/>
      <c r="BH268" s="1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</row>
    <row r="269" spans="1:73" x14ac:dyDescent="0.25">
      <c r="A269" s="30">
        <v>43509</v>
      </c>
      <c r="B269" s="32" t="s">
        <v>90</v>
      </c>
      <c r="C269" s="32" t="s">
        <v>48</v>
      </c>
      <c r="D269" s="31">
        <v>2009</v>
      </c>
      <c r="E269" s="44">
        <v>1</v>
      </c>
      <c r="F269" s="31" t="s">
        <v>17</v>
      </c>
      <c r="G269" s="31" t="s">
        <v>467</v>
      </c>
      <c r="H269" s="31" t="s">
        <v>375</v>
      </c>
      <c r="I269" s="35">
        <v>0.92</v>
      </c>
      <c r="J269" s="35">
        <v>0.83</v>
      </c>
      <c r="K269" s="35">
        <v>0.77</v>
      </c>
      <c r="L269" s="35">
        <v>0.76</v>
      </c>
      <c r="M269" s="35">
        <v>0.71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"/>
      <c r="BF269" s="1"/>
      <c r="BG269" s="1"/>
      <c r="BH269" s="1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</row>
    <row r="270" spans="1:73" x14ac:dyDescent="0.25">
      <c r="A270" s="30">
        <v>43509</v>
      </c>
      <c r="B270" s="32"/>
      <c r="C270" s="32"/>
      <c r="D270" s="31"/>
      <c r="E270" s="44"/>
      <c r="F270" s="31"/>
      <c r="G270" s="31"/>
      <c r="H270" s="31"/>
      <c r="I270" s="33">
        <f>2*24*3600</f>
        <v>172800</v>
      </c>
      <c r="J270" s="33">
        <f>7*24*3600*1</f>
        <v>604800</v>
      </c>
      <c r="K270" s="33">
        <f>7*24*3600*2.143</f>
        <v>1296086.3999999999</v>
      </c>
      <c r="L270" s="33">
        <f>7*24*3600*4.429</f>
        <v>2678659.2000000002</v>
      </c>
      <c r="M270" s="33">
        <f>7*24*3600*6.571</f>
        <v>3974140.8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"/>
      <c r="BF270" s="1"/>
      <c r="BG270" s="1"/>
      <c r="BH270" s="1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</row>
    <row r="271" spans="1:73" x14ac:dyDescent="0.25">
      <c r="A271" s="30">
        <v>43509</v>
      </c>
      <c r="B271" s="32" t="s">
        <v>90</v>
      </c>
      <c r="C271" s="32" t="s">
        <v>48</v>
      </c>
      <c r="D271" s="31">
        <v>2009</v>
      </c>
      <c r="E271" s="44">
        <v>1</v>
      </c>
      <c r="F271" s="31" t="s">
        <v>17</v>
      </c>
      <c r="G271" s="31" t="s">
        <v>468</v>
      </c>
      <c r="H271" s="31" t="s">
        <v>375</v>
      </c>
      <c r="I271" s="35">
        <v>0.95</v>
      </c>
      <c r="J271" s="35">
        <v>0.91</v>
      </c>
      <c r="K271" s="35">
        <v>0.87</v>
      </c>
      <c r="L271" s="35">
        <v>0.84</v>
      </c>
      <c r="M271" s="35">
        <v>0.82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"/>
      <c r="BF271" s="1"/>
      <c r="BG271" s="1"/>
      <c r="BH271" s="1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</row>
    <row r="272" spans="1:73" x14ac:dyDescent="0.25">
      <c r="A272" s="30">
        <v>43509</v>
      </c>
      <c r="B272" s="32"/>
      <c r="C272" s="32"/>
      <c r="D272" s="31"/>
      <c r="E272" s="44"/>
      <c r="F272" s="31"/>
      <c r="G272" s="31"/>
      <c r="H272" s="31"/>
      <c r="I272" s="33">
        <f>2*24*3600</f>
        <v>172800</v>
      </c>
      <c r="J272" s="33">
        <f>7*24*3600*1</f>
        <v>604800</v>
      </c>
      <c r="K272" s="33">
        <f>7*24*3600*2.143</f>
        <v>1296086.3999999999</v>
      </c>
      <c r="L272" s="33">
        <f>7*24*3600*4.429</f>
        <v>2678659.2000000002</v>
      </c>
      <c r="M272" s="33">
        <f>7*24*3600*6.571</f>
        <v>3974140.8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"/>
      <c r="BF272" s="1"/>
      <c r="BG272" s="1"/>
      <c r="BH272" s="1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</row>
    <row r="273" spans="1:73" x14ac:dyDescent="0.25">
      <c r="A273" s="30">
        <v>43509</v>
      </c>
      <c r="B273" s="32" t="s">
        <v>90</v>
      </c>
      <c r="C273" s="32" t="s">
        <v>48</v>
      </c>
      <c r="D273" s="31">
        <v>2009</v>
      </c>
      <c r="E273" s="44">
        <v>1</v>
      </c>
      <c r="F273" s="31" t="s">
        <v>17</v>
      </c>
      <c r="G273" s="31" t="s">
        <v>469</v>
      </c>
      <c r="H273" s="31" t="s">
        <v>375</v>
      </c>
      <c r="I273" s="35">
        <v>0.78</v>
      </c>
      <c r="J273" s="35">
        <v>0.65</v>
      </c>
      <c r="K273" s="35">
        <v>0.4</v>
      </c>
      <c r="L273" s="35">
        <v>0.26</v>
      </c>
      <c r="M273" s="35">
        <v>0.25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"/>
      <c r="BF273" s="1"/>
      <c r="BG273" s="1"/>
      <c r="BH273" s="1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</row>
    <row r="274" spans="1:73" x14ac:dyDescent="0.25">
      <c r="A274" s="30">
        <v>43509</v>
      </c>
      <c r="B274" s="32"/>
      <c r="C274" s="32"/>
      <c r="D274" s="31"/>
      <c r="E274" s="44"/>
      <c r="F274" s="31"/>
      <c r="G274" s="31"/>
      <c r="H274" s="31"/>
      <c r="I274" s="33">
        <f>2*24*3600</f>
        <v>172800</v>
      </c>
      <c r="J274" s="33">
        <f>7*24*3600*1</f>
        <v>604800</v>
      </c>
      <c r="K274" s="33">
        <f>7*24*3600*2.143</f>
        <v>1296086.3999999999</v>
      </c>
      <c r="L274" s="33">
        <f>7*24*3600*4.429</f>
        <v>2678659.2000000002</v>
      </c>
      <c r="M274" s="33">
        <f>7*24*3600*6.571</f>
        <v>3974140.8</v>
      </c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"/>
      <c r="BF274" s="1"/>
      <c r="BG274" s="1"/>
      <c r="BH274" s="1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</row>
    <row r="275" spans="1:73" x14ac:dyDescent="0.25">
      <c r="A275" s="30">
        <v>43509</v>
      </c>
      <c r="B275" s="32" t="s">
        <v>90</v>
      </c>
      <c r="C275" s="32" t="s">
        <v>48</v>
      </c>
      <c r="D275" s="31">
        <v>2009</v>
      </c>
      <c r="E275" s="44">
        <v>1</v>
      </c>
      <c r="F275" s="31" t="s">
        <v>17</v>
      </c>
      <c r="G275" s="31" t="s">
        <v>470</v>
      </c>
      <c r="H275" s="31" t="s">
        <v>375</v>
      </c>
      <c r="I275" s="35">
        <v>0.94</v>
      </c>
      <c r="J275" s="35">
        <v>0.93</v>
      </c>
      <c r="K275" s="35">
        <v>0.84</v>
      </c>
      <c r="L275" s="35">
        <v>0.75</v>
      </c>
      <c r="M275" s="35">
        <v>0.64</v>
      </c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"/>
      <c r="BF275" s="1"/>
      <c r="BG275" s="1"/>
      <c r="BH275" s="1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</row>
    <row r="276" spans="1:73" x14ac:dyDescent="0.25">
      <c r="A276" s="30">
        <v>43509</v>
      </c>
      <c r="B276" s="32"/>
      <c r="C276" s="32"/>
      <c r="D276" s="31"/>
      <c r="E276" s="44"/>
      <c r="F276" s="31"/>
      <c r="G276" s="31"/>
      <c r="H276" s="31"/>
      <c r="I276" s="33">
        <f>2*24*3600</f>
        <v>172800</v>
      </c>
      <c r="J276" s="33">
        <f>7*24*3600*1</f>
        <v>604800</v>
      </c>
      <c r="K276" s="33">
        <f>7*24*3600*2.143</f>
        <v>1296086.3999999999</v>
      </c>
      <c r="L276" s="33">
        <f>7*24*3600*4.429</f>
        <v>2678659.2000000002</v>
      </c>
      <c r="M276" s="33">
        <f>7*24*3600*6.571</f>
        <v>3974140.8</v>
      </c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"/>
      <c r="BF276" s="1"/>
      <c r="BG276" s="1"/>
      <c r="BH276" s="1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</row>
    <row r="277" spans="1:73" x14ac:dyDescent="0.25">
      <c r="A277" s="30">
        <v>43509</v>
      </c>
      <c r="B277" s="32" t="s">
        <v>90</v>
      </c>
      <c r="C277" s="32" t="s">
        <v>48</v>
      </c>
      <c r="D277" s="31">
        <v>2009</v>
      </c>
      <c r="E277" s="44">
        <v>1</v>
      </c>
      <c r="F277" s="31" t="s">
        <v>17</v>
      </c>
      <c r="G277" s="31" t="s">
        <v>471</v>
      </c>
      <c r="H277" s="31" t="s">
        <v>375</v>
      </c>
      <c r="I277" s="35">
        <v>0.68500000000000005</v>
      </c>
      <c r="J277" s="35">
        <v>0.505</v>
      </c>
      <c r="K277" s="35">
        <v>0.48499999999999999</v>
      </c>
      <c r="L277" s="35">
        <v>0.43</v>
      </c>
      <c r="M277" s="35">
        <v>0.38</v>
      </c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"/>
      <c r="BF277" s="1"/>
      <c r="BG277" s="1"/>
      <c r="BH277" s="1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</row>
    <row r="278" spans="1:73" x14ac:dyDescent="0.25">
      <c r="A278" s="30">
        <v>43509</v>
      </c>
      <c r="B278" s="32"/>
      <c r="C278" s="32"/>
      <c r="D278" s="31"/>
      <c r="E278" s="44"/>
      <c r="F278" s="31"/>
      <c r="G278" s="31"/>
      <c r="H278" s="31"/>
      <c r="I278" s="33">
        <f>2*24*3600</f>
        <v>172800</v>
      </c>
      <c r="J278" s="33">
        <f>7*24*3600*1</f>
        <v>604800</v>
      </c>
      <c r="K278" s="33">
        <f>7*24*3600*2.143</f>
        <v>1296086.3999999999</v>
      </c>
      <c r="L278" s="33">
        <f>7*24*3600*4.429</f>
        <v>2678659.2000000002</v>
      </c>
      <c r="M278" s="33">
        <f>7*24*3600*6.571</f>
        <v>3974140.8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"/>
      <c r="BF278" s="1"/>
      <c r="BG278" s="1"/>
      <c r="BH278" s="1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</row>
    <row r="279" spans="1:73" x14ac:dyDescent="0.25">
      <c r="A279" s="30">
        <v>43509</v>
      </c>
      <c r="B279" s="32" t="s">
        <v>90</v>
      </c>
      <c r="C279" s="32" t="s">
        <v>48</v>
      </c>
      <c r="D279" s="31">
        <v>2009</v>
      </c>
      <c r="E279" s="44">
        <v>1</v>
      </c>
      <c r="F279" s="31" t="s">
        <v>17</v>
      </c>
      <c r="G279" s="31" t="s">
        <v>472</v>
      </c>
      <c r="H279" s="31" t="s">
        <v>375</v>
      </c>
      <c r="I279" s="35">
        <v>0.65</v>
      </c>
      <c r="J279" s="35">
        <v>0.41</v>
      </c>
      <c r="K279" s="35">
        <v>0.37</v>
      </c>
      <c r="L279" s="35">
        <v>0.22</v>
      </c>
      <c r="M279" s="35">
        <v>0.23499999999999999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"/>
      <c r="BF279" s="1"/>
      <c r="BG279" s="1"/>
      <c r="BH279" s="1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</row>
    <row r="280" spans="1:73" x14ac:dyDescent="0.25">
      <c r="A280" s="27">
        <v>43509</v>
      </c>
      <c r="B280" s="1"/>
      <c r="C280" s="1"/>
      <c r="D280" s="23"/>
      <c r="E280" s="38"/>
      <c r="F280" s="23"/>
      <c r="G280" s="23"/>
      <c r="H280" s="23"/>
      <c r="I280" s="12">
        <f>24*3600</f>
        <v>86400</v>
      </c>
      <c r="J280" s="12">
        <f>2*24*3600</f>
        <v>172800</v>
      </c>
      <c r="K280" s="12">
        <f>4*24*3600</f>
        <v>345600</v>
      </c>
      <c r="L280" s="12">
        <f>7*24*3600*1</f>
        <v>604800</v>
      </c>
      <c r="M280" s="12">
        <f>7*24*3600*2</f>
        <v>1209600</v>
      </c>
      <c r="N280" s="12">
        <f>7*24*3600*4</f>
        <v>2419200</v>
      </c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"/>
      <c r="BF280" s="1"/>
      <c r="BG280" s="1"/>
      <c r="BH280" s="1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</row>
    <row r="281" spans="1:73" x14ac:dyDescent="0.25">
      <c r="A281" s="27">
        <v>43509</v>
      </c>
      <c r="B281" s="1" t="s">
        <v>92</v>
      </c>
      <c r="C281" s="1" t="s">
        <v>76</v>
      </c>
      <c r="D281" s="23">
        <v>1929</v>
      </c>
      <c r="E281" s="38">
        <v>1</v>
      </c>
      <c r="F281" s="23" t="s">
        <v>387</v>
      </c>
      <c r="G281" s="36">
        <v>1</v>
      </c>
      <c r="H281" s="23" t="s">
        <v>12</v>
      </c>
      <c r="I281" s="18">
        <v>0.21729999999999999</v>
      </c>
      <c r="J281" s="18">
        <v>0.13400000000000001</v>
      </c>
      <c r="K281" s="18">
        <v>3.4000000000000002E-2</v>
      </c>
      <c r="L281" s="18">
        <v>1.7500000000000002E-2</v>
      </c>
      <c r="M281" s="18">
        <v>1.6500000000000001E-2</v>
      </c>
      <c r="N281" s="18">
        <v>1.4999999999999999E-2</v>
      </c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"/>
      <c r="BF281" s="1"/>
      <c r="BG281" s="1"/>
      <c r="BH281" s="1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</row>
    <row r="282" spans="1:73" x14ac:dyDescent="0.25">
      <c r="A282" s="27">
        <v>43509</v>
      </c>
      <c r="B282" s="1"/>
      <c r="C282" s="1"/>
      <c r="D282" s="23"/>
      <c r="E282" s="38"/>
      <c r="F282" s="23"/>
      <c r="G282" s="36"/>
      <c r="H282" s="23"/>
      <c r="I282" s="12">
        <f>24*3600</f>
        <v>86400</v>
      </c>
      <c r="J282" s="12">
        <f>2*24*3600</f>
        <v>172800</v>
      </c>
      <c r="K282" s="12">
        <f>4*24*3600</f>
        <v>345600</v>
      </c>
      <c r="L282" s="12">
        <f>7*24*3600*1</f>
        <v>604800</v>
      </c>
      <c r="M282" s="12">
        <f>7*24*3600*2</f>
        <v>1209600</v>
      </c>
      <c r="N282" s="12">
        <f>7*24*3600*4</f>
        <v>2419200</v>
      </c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"/>
      <c r="BF282" s="1"/>
      <c r="BG282" s="1"/>
      <c r="BH282" s="1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</row>
    <row r="283" spans="1:73" x14ac:dyDescent="0.25">
      <c r="A283" s="27">
        <v>43509</v>
      </c>
      <c r="B283" s="1" t="s">
        <v>92</v>
      </c>
      <c r="C283" s="1" t="s">
        <v>76</v>
      </c>
      <c r="D283" s="23">
        <v>1929</v>
      </c>
      <c r="E283" s="38">
        <v>1</v>
      </c>
      <c r="F283" s="23" t="s">
        <v>387</v>
      </c>
      <c r="G283" s="36">
        <v>1.5</v>
      </c>
      <c r="H283" s="23" t="s">
        <v>12</v>
      </c>
      <c r="I283" s="18">
        <v>0.36149999999999999</v>
      </c>
      <c r="J283" s="18">
        <v>0.33450000000000002</v>
      </c>
      <c r="K283" s="18">
        <v>0.29749999999999999</v>
      </c>
      <c r="L283" s="18">
        <v>0.23150000000000001</v>
      </c>
      <c r="M283" s="18">
        <v>0.20799999999999999</v>
      </c>
      <c r="N283" s="18">
        <v>0.20499999999999999</v>
      </c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"/>
      <c r="BF283" s="1"/>
      <c r="BG283" s="1"/>
      <c r="BH283" s="1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</row>
    <row r="284" spans="1:73" x14ac:dyDescent="0.25">
      <c r="A284" s="27">
        <v>43509</v>
      </c>
      <c r="B284" s="1"/>
      <c r="C284" s="1"/>
      <c r="D284" s="23"/>
      <c r="E284" s="38"/>
      <c r="F284" s="23"/>
      <c r="G284" s="36"/>
      <c r="H284" s="23"/>
      <c r="I284" s="12">
        <f>24*3600</f>
        <v>86400</v>
      </c>
      <c r="J284" s="12">
        <f>2*24*3600</f>
        <v>172800</v>
      </c>
      <c r="K284" s="12">
        <f>4*24*3600</f>
        <v>345600</v>
      </c>
      <c r="L284" s="12">
        <f>7*24*3600*1</f>
        <v>604800</v>
      </c>
      <c r="M284" s="12">
        <f>7*24*3600*2</f>
        <v>1209600</v>
      </c>
      <c r="N284" s="12">
        <f>7*24*3600*4</f>
        <v>2419200</v>
      </c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"/>
      <c r="BF284" s="1"/>
      <c r="BG284" s="1"/>
      <c r="BH284" s="1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</row>
    <row r="285" spans="1:73" x14ac:dyDescent="0.25">
      <c r="A285" s="27">
        <v>43509</v>
      </c>
      <c r="B285" s="1" t="s">
        <v>92</v>
      </c>
      <c r="C285" s="1" t="s">
        <v>76</v>
      </c>
      <c r="D285" s="23">
        <v>1929</v>
      </c>
      <c r="E285" s="38">
        <v>1</v>
      </c>
      <c r="F285" s="23" t="s">
        <v>387</v>
      </c>
      <c r="G285" s="36">
        <v>2</v>
      </c>
      <c r="H285" s="23" t="s">
        <v>12</v>
      </c>
      <c r="I285" s="18">
        <v>0.47099999999999997</v>
      </c>
      <c r="J285" s="18">
        <v>0.42049999999999998</v>
      </c>
      <c r="K285" s="18">
        <v>0.32300000000000001</v>
      </c>
      <c r="L285" s="18">
        <v>0.27550000000000002</v>
      </c>
      <c r="M285" s="18">
        <v>0.2545</v>
      </c>
      <c r="N285" s="18">
        <v>0.251</v>
      </c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"/>
      <c r="BF285" s="1"/>
      <c r="BG285" s="1"/>
      <c r="BH285" s="1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</row>
    <row r="286" spans="1:73" x14ac:dyDescent="0.25">
      <c r="A286" s="30">
        <v>43509</v>
      </c>
      <c r="B286" s="32"/>
      <c r="C286" s="32"/>
      <c r="D286" s="31"/>
      <c r="E286" s="44"/>
      <c r="F286" s="31"/>
      <c r="G286" s="31"/>
      <c r="H286" s="31"/>
      <c r="I286" s="33">
        <f>30*24*60*60*((5/60)/24)/30</f>
        <v>300</v>
      </c>
      <c r="J286" s="33">
        <f>30*24*60*60*(1/24)/30</f>
        <v>3600</v>
      </c>
      <c r="K286" s="33">
        <f>30*24*60*60*1/30</f>
        <v>86400</v>
      </c>
      <c r="L286" s="33">
        <f>30*24*60*60*7/30</f>
        <v>604800</v>
      </c>
      <c r="M286" s="33">
        <f>30*24*60*60*1</f>
        <v>2592000</v>
      </c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"/>
      <c r="BF286" s="1"/>
      <c r="BG286" s="1"/>
      <c r="BH286" s="1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</row>
    <row r="287" spans="1:73" x14ac:dyDescent="0.25">
      <c r="A287" s="30">
        <v>43509</v>
      </c>
      <c r="B287" s="32" t="s">
        <v>113</v>
      </c>
      <c r="C287" s="32" t="s">
        <v>101</v>
      </c>
      <c r="D287" s="31">
        <v>1971</v>
      </c>
      <c r="E287" s="44">
        <v>1</v>
      </c>
      <c r="F287" s="31" t="s">
        <v>22</v>
      </c>
      <c r="G287" s="31" t="s">
        <v>423</v>
      </c>
      <c r="H287" s="31" t="s">
        <v>12</v>
      </c>
      <c r="I287" s="35">
        <f>2.9/8</f>
        <v>0.36249999999999999</v>
      </c>
      <c r="J287" s="35">
        <f>2.1/8</f>
        <v>0.26250000000000001</v>
      </c>
      <c r="K287" s="35">
        <f>2/8</f>
        <v>0.25</v>
      </c>
      <c r="L287" s="35">
        <f>1.8/8</f>
        <v>0.22500000000000001</v>
      </c>
      <c r="M287" s="35">
        <f>0.9/8</f>
        <v>0.1125</v>
      </c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"/>
      <c r="BF287" s="1"/>
      <c r="BG287" s="1"/>
      <c r="BH287" s="1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</row>
    <row r="288" spans="1:73" x14ac:dyDescent="0.25">
      <c r="A288" s="27">
        <v>44046</v>
      </c>
      <c r="B288" s="1"/>
      <c r="C288" s="1"/>
      <c r="D288" s="23"/>
      <c r="E288" s="38"/>
      <c r="F288" s="23"/>
      <c r="G288" s="23"/>
      <c r="H288" s="23"/>
      <c r="I288" s="12">
        <f>60*60*24*1</f>
        <v>86400</v>
      </c>
      <c r="J288" s="12">
        <f>60*60*24*2</f>
        <v>172800</v>
      </c>
      <c r="K288" s="12">
        <f>60*60*24*3</f>
        <v>259200</v>
      </c>
      <c r="L288" s="12">
        <f>60*60*24*4</f>
        <v>345600</v>
      </c>
      <c r="M288" s="12">
        <f>60*60*24*5</f>
        <v>432000</v>
      </c>
      <c r="N288" s="12">
        <f>60*60*24*6</f>
        <v>518400</v>
      </c>
      <c r="O288" s="12">
        <f>60*60*24*7</f>
        <v>604800</v>
      </c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"/>
      <c r="BF288" s="1"/>
      <c r="BG288" s="1"/>
      <c r="BH288" s="1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</row>
    <row r="289" spans="1:73" x14ac:dyDescent="0.25">
      <c r="A289" s="27">
        <v>44046</v>
      </c>
      <c r="B289" s="1" t="s">
        <v>540</v>
      </c>
      <c r="C289" s="1" t="s">
        <v>522</v>
      </c>
      <c r="D289" s="23">
        <v>2017</v>
      </c>
      <c r="E289" s="38">
        <v>1</v>
      </c>
      <c r="F289" s="23" t="s">
        <v>22</v>
      </c>
      <c r="G289" s="23" t="s">
        <v>197</v>
      </c>
      <c r="H289" s="23" t="s">
        <v>375</v>
      </c>
      <c r="I289" s="18">
        <v>0.6428571428571429</v>
      </c>
      <c r="J289" s="18">
        <v>0.59842519685039286</v>
      </c>
      <c r="K289" s="18">
        <v>0.55343082114735564</v>
      </c>
      <c r="L289" s="18">
        <v>0.50562429696287858</v>
      </c>
      <c r="M289" s="18">
        <v>0.51912260967378998</v>
      </c>
      <c r="N289" s="18">
        <v>0.39032620922384714</v>
      </c>
      <c r="O289" s="18">
        <v>0.3796400449943757</v>
      </c>
      <c r="P289" s="18"/>
      <c r="Q289" s="18" t="s">
        <v>541</v>
      </c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"/>
      <c r="BF289" s="1"/>
      <c r="BG289" s="1"/>
      <c r="BH289" s="1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</row>
    <row r="290" spans="1:73" x14ac:dyDescent="0.25">
      <c r="A290" s="27">
        <v>44006</v>
      </c>
      <c r="B290" s="1"/>
      <c r="C290" s="1"/>
      <c r="D290" s="23"/>
      <c r="E290" s="38"/>
      <c r="F290" s="23"/>
      <c r="G290" s="23"/>
      <c r="H290" s="23"/>
      <c r="I290" s="12">
        <v>15768000</v>
      </c>
      <c r="J290" s="12">
        <v>31536000</v>
      </c>
      <c r="K290" s="12">
        <v>47304000</v>
      </c>
      <c r="L290" s="12">
        <v>63072000</v>
      </c>
      <c r="M290" s="12">
        <v>78840000</v>
      </c>
      <c r="N290" s="12">
        <v>94608000</v>
      </c>
      <c r="O290" s="12">
        <v>110376000</v>
      </c>
      <c r="P290" s="12">
        <v>126144000</v>
      </c>
      <c r="Q290" s="12">
        <v>141912000</v>
      </c>
      <c r="R290" s="12">
        <v>157680000</v>
      </c>
      <c r="S290" s="12">
        <v>173448000</v>
      </c>
      <c r="T290" s="12">
        <v>189216000</v>
      </c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"/>
      <c r="BF290" s="1"/>
      <c r="BG290" s="1"/>
      <c r="BH290" s="1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</row>
    <row r="291" spans="1:73" x14ac:dyDescent="0.25">
      <c r="A291" s="27">
        <v>44006</v>
      </c>
      <c r="B291" s="1" t="s">
        <v>525</v>
      </c>
      <c r="C291" s="1" t="s">
        <v>526</v>
      </c>
      <c r="D291" s="23">
        <v>1982</v>
      </c>
      <c r="E291" s="38">
        <v>1</v>
      </c>
      <c r="F291" s="23" t="s">
        <v>527</v>
      </c>
      <c r="G291" s="23"/>
      <c r="H291" s="23" t="s">
        <v>375</v>
      </c>
      <c r="I291" s="18">
        <v>0.98149023100904287</v>
      </c>
      <c r="J291" s="18">
        <v>0.96709040915516153</v>
      </c>
      <c r="K291" s="18">
        <v>0.9394293515094011</v>
      </c>
      <c r="L291" s="18">
        <v>0.93116201614933303</v>
      </c>
      <c r="M291" s="18">
        <v>0.91726274616114478</v>
      </c>
      <c r="N291" s="18">
        <v>0.88935576941695904</v>
      </c>
      <c r="O291" s="18">
        <v>0.86021919718064499</v>
      </c>
      <c r="P291" s="18">
        <v>0.83106326123579199</v>
      </c>
      <c r="Q291" s="18">
        <v>0.78913405495420497</v>
      </c>
      <c r="R291" s="18">
        <v>0.78849505257246899</v>
      </c>
      <c r="S291" s="18">
        <v>0.70721879054276493</v>
      </c>
      <c r="T291" s="18">
        <v>0.68986213039521393</v>
      </c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"/>
      <c r="BF291" s="1"/>
      <c r="BG291" s="1"/>
      <c r="BH291" s="1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</row>
    <row r="292" spans="1:73" x14ac:dyDescent="0.25">
      <c r="A292" s="27">
        <v>44041</v>
      </c>
      <c r="B292" s="1"/>
      <c r="C292" s="1"/>
      <c r="D292" s="23"/>
      <c r="E292" s="38"/>
      <c r="F292" s="23"/>
      <c r="G292" s="23"/>
      <c r="H292" s="23"/>
      <c r="I292" s="12">
        <v>120</v>
      </c>
      <c r="J292" s="12">
        <f>60*20</f>
        <v>1200</v>
      </c>
      <c r="K292" s="12">
        <f>60*60*24</f>
        <v>86400</v>
      </c>
      <c r="L292" s="12">
        <f>60*60*24*2</f>
        <v>172800</v>
      </c>
      <c r="M292" s="12">
        <f>60*60*24*7</f>
        <v>604800</v>
      </c>
      <c r="N292" s="18"/>
      <c r="O292" s="18" t="s">
        <v>533</v>
      </c>
      <c r="P292" s="18"/>
      <c r="Q292" s="18"/>
      <c r="R292" s="18"/>
      <c r="S292" s="18"/>
      <c r="T292" s="18"/>
      <c r="U292" s="18"/>
      <c r="V292" s="3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"/>
      <c r="BF292" s="1"/>
      <c r="BG292" s="1"/>
      <c r="BH292" s="1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</row>
    <row r="293" spans="1:73" x14ac:dyDescent="0.25">
      <c r="A293" s="27">
        <v>44041</v>
      </c>
      <c r="B293" s="1" t="s">
        <v>530</v>
      </c>
      <c r="C293" s="1" t="s">
        <v>531</v>
      </c>
      <c r="D293" s="23">
        <v>1978</v>
      </c>
      <c r="E293" s="38">
        <v>3</v>
      </c>
      <c r="F293" s="23" t="s">
        <v>25</v>
      </c>
      <c r="G293" s="23" t="s">
        <v>532</v>
      </c>
      <c r="H293" s="23" t="s">
        <v>186</v>
      </c>
      <c r="I293" s="86">
        <v>0.87390981361031195</v>
      </c>
      <c r="J293" s="86">
        <v>0.79094774702095805</v>
      </c>
      <c r="K293" s="86">
        <v>0.70643943595690595</v>
      </c>
      <c r="L293" s="86">
        <v>0.54743172154153796</v>
      </c>
      <c r="M293" s="86">
        <v>0.49673910485890499</v>
      </c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"/>
      <c r="BF293" s="1"/>
      <c r="BG293" s="1"/>
      <c r="BH293" s="1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</row>
    <row r="294" spans="1:73" x14ac:dyDescent="0.25">
      <c r="A294" s="27">
        <v>44041</v>
      </c>
      <c r="B294" s="1"/>
      <c r="C294" s="1"/>
      <c r="D294" s="23"/>
      <c r="E294" s="38"/>
      <c r="F294" s="23"/>
      <c r="G294" s="23"/>
      <c r="H294" s="23"/>
      <c r="I294" s="12">
        <v>120</v>
      </c>
      <c r="J294" s="12">
        <f>60*20</f>
        <v>1200</v>
      </c>
      <c r="K294" s="12">
        <f>60*60*24</f>
        <v>86400</v>
      </c>
      <c r="L294" s="12">
        <f>60*60*24*2</f>
        <v>172800</v>
      </c>
      <c r="M294" s="12">
        <f>60*60*24*7</f>
        <v>604800</v>
      </c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"/>
      <c r="BF294" s="1"/>
      <c r="BG294" s="1"/>
      <c r="BH294" s="1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</row>
    <row r="295" spans="1:73" x14ac:dyDescent="0.25">
      <c r="A295" s="27">
        <v>44041</v>
      </c>
      <c r="B295" s="1" t="s">
        <v>530</v>
      </c>
      <c r="C295" s="1" t="s">
        <v>531</v>
      </c>
      <c r="D295" s="23">
        <v>1978</v>
      </c>
      <c r="E295" s="38">
        <v>3</v>
      </c>
      <c r="F295" s="23" t="s">
        <v>25</v>
      </c>
      <c r="G295" s="23" t="s">
        <v>534</v>
      </c>
      <c r="H295" s="23" t="s">
        <v>186</v>
      </c>
      <c r="I295" s="86">
        <v>0.834680919007042</v>
      </c>
      <c r="J295" s="86">
        <v>0.74890872115497698</v>
      </c>
      <c r="K295" s="86">
        <v>0.74706936251029399</v>
      </c>
      <c r="L295" s="86">
        <v>0.70504512680885401</v>
      </c>
      <c r="M295" s="86">
        <v>0.62493083917376702</v>
      </c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"/>
      <c r="BF295" s="1"/>
      <c r="BG295" s="1"/>
      <c r="BH295" s="1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</row>
    <row r="296" spans="1:73" x14ac:dyDescent="0.25">
      <c r="A296" s="27">
        <v>44041</v>
      </c>
      <c r="B296" s="1"/>
      <c r="C296" s="1"/>
      <c r="D296" s="23"/>
      <c r="E296" s="38"/>
      <c r="F296" s="23"/>
      <c r="G296" s="23"/>
      <c r="H296" s="23"/>
      <c r="I296" s="12">
        <v>120</v>
      </c>
      <c r="J296" s="12">
        <f>60*20</f>
        <v>1200</v>
      </c>
      <c r="K296" s="12">
        <f>60*60*24</f>
        <v>86400</v>
      </c>
      <c r="L296" s="12">
        <f>60*60*24*2</f>
        <v>172800</v>
      </c>
      <c r="M296" s="12">
        <f>60*60*24*7</f>
        <v>604800</v>
      </c>
      <c r="N296" s="18"/>
      <c r="O296" s="18"/>
      <c r="P296" s="18"/>
      <c r="Q296" s="18"/>
      <c r="R296" s="18"/>
      <c r="S296" s="18"/>
      <c r="T296" s="18"/>
      <c r="U296" s="18"/>
      <c r="V296" s="3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"/>
      <c r="BF296" s="1"/>
      <c r="BG296" s="1"/>
      <c r="BH296" s="1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</row>
    <row r="297" spans="1:73" x14ac:dyDescent="0.25">
      <c r="A297" s="27">
        <v>44041</v>
      </c>
      <c r="B297" s="1" t="s">
        <v>530</v>
      </c>
      <c r="C297" s="1" t="s">
        <v>531</v>
      </c>
      <c r="D297" s="23">
        <v>1978</v>
      </c>
      <c r="E297" s="38">
        <v>3</v>
      </c>
      <c r="F297" s="23" t="s">
        <v>25</v>
      </c>
      <c r="G297" s="23" t="s">
        <v>537</v>
      </c>
      <c r="H297" s="23" t="s">
        <v>186</v>
      </c>
      <c r="I297" s="86">
        <v>0.87648221249948899</v>
      </c>
      <c r="J297" s="86">
        <v>0.57589754947203498</v>
      </c>
      <c r="K297" s="86">
        <v>0.63524859347241902</v>
      </c>
      <c r="L297" s="86">
        <v>0.47198778775715</v>
      </c>
      <c r="M297" s="86">
        <v>0.50842452752174505</v>
      </c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"/>
      <c r="BF297" s="1"/>
      <c r="BG297" s="1"/>
      <c r="BH297" s="1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</row>
    <row r="298" spans="1:73" x14ac:dyDescent="0.25">
      <c r="A298" s="27">
        <v>44041</v>
      </c>
      <c r="B298" s="1"/>
      <c r="C298" s="1"/>
      <c r="D298" s="23"/>
      <c r="E298" s="38"/>
      <c r="F298" s="23"/>
      <c r="G298" s="23"/>
      <c r="H298" s="23"/>
      <c r="I298" s="12">
        <v>120</v>
      </c>
      <c r="J298" s="12">
        <f>60*20</f>
        <v>1200</v>
      </c>
      <c r="K298" s="12">
        <f>60*60*24</f>
        <v>86400</v>
      </c>
      <c r="L298" s="12">
        <f>60*60*24*2</f>
        <v>172800</v>
      </c>
      <c r="M298" s="12">
        <f>60*60*24*7</f>
        <v>604800</v>
      </c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"/>
      <c r="BF298" s="1"/>
      <c r="BG298" s="1"/>
      <c r="BH298" s="1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</row>
    <row r="299" spans="1:73" x14ac:dyDescent="0.25">
      <c r="A299" s="27">
        <v>44041</v>
      </c>
      <c r="B299" s="1" t="s">
        <v>530</v>
      </c>
      <c r="C299" s="1" t="s">
        <v>531</v>
      </c>
      <c r="D299" s="23">
        <v>1978</v>
      </c>
      <c r="E299" s="38">
        <v>3</v>
      </c>
      <c r="F299" s="23" t="s">
        <v>25</v>
      </c>
      <c r="G299" s="23" t="s">
        <v>538</v>
      </c>
      <c r="H299" s="23" t="s">
        <v>186</v>
      </c>
      <c r="I299" s="86">
        <v>0.82999660665418895</v>
      </c>
      <c r="J299" s="86">
        <v>0.71085499957701903</v>
      </c>
      <c r="K299" s="86">
        <v>0.75071664231758795</v>
      </c>
      <c r="L299" s="86">
        <v>0.69616989161254195</v>
      </c>
      <c r="M299" s="86">
        <v>0.67187315540288095</v>
      </c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"/>
      <c r="BF299" s="1"/>
      <c r="BG299" s="1"/>
      <c r="BH299" s="1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</row>
    <row r="300" spans="1:73" x14ac:dyDescent="0.25">
      <c r="A300" s="30">
        <v>43978</v>
      </c>
      <c r="B300" s="32"/>
      <c r="C300" s="32"/>
      <c r="D300" s="31"/>
      <c r="E300" s="44"/>
      <c r="F300" s="31"/>
      <c r="G300" s="31"/>
      <c r="H300" s="31"/>
      <c r="I300" s="33">
        <v>30</v>
      </c>
      <c r="J300" s="33">
        <f>60*30</f>
        <v>1800</v>
      </c>
      <c r="K300" s="33">
        <f>60*60</f>
        <v>3600</v>
      </c>
      <c r="L300" s="33">
        <f>60*60*24</f>
        <v>86400</v>
      </c>
      <c r="M300" s="33">
        <f>60*60*24*7</f>
        <v>604800</v>
      </c>
      <c r="N300" s="33">
        <f>60*60*24*41</f>
        <v>3542400</v>
      </c>
      <c r="O300" s="12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"/>
      <c r="BF300" s="1"/>
      <c r="BG300" s="1"/>
      <c r="BH300" s="1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</row>
    <row r="301" spans="1:73" x14ac:dyDescent="0.25">
      <c r="A301" s="30">
        <v>43978</v>
      </c>
      <c r="B301" s="32" t="s">
        <v>508</v>
      </c>
      <c r="C301" s="32" t="s">
        <v>509</v>
      </c>
      <c r="D301" s="31">
        <v>1998</v>
      </c>
      <c r="E301" s="44">
        <v>1</v>
      </c>
      <c r="F301" s="31" t="s">
        <v>25</v>
      </c>
      <c r="G301" s="31" t="s">
        <v>197</v>
      </c>
      <c r="H301" s="31" t="s">
        <v>397</v>
      </c>
      <c r="I301" s="35">
        <f>(0.86+0.55)/2</f>
        <v>0.70500000000000007</v>
      </c>
      <c r="J301" s="35">
        <f>(0.84+0.55)/2</f>
        <v>0.69500000000000006</v>
      </c>
      <c r="K301" s="35">
        <f>(0.94+0.83)/2</f>
        <v>0.88500000000000001</v>
      </c>
      <c r="L301" s="35">
        <f>(0.8+0.83)/2</f>
        <v>0.81499999999999995</v>
      </c>
      <c r="M301" s="35">
        <f>(0.8+0.65)/2</f>
        <v>0.72500000000000009</v>
      </c>
      <c r="N301" s="35">
        <f>(0.55+0.65)/2</f>
        <v>0.60000000000000009</v>
      </c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"/>
      <c r="BF301" s="1"/>
      <c r="BG301" s="1"/>
      <c r="BH301" s="1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</row>
    <row r="302" spans="1:73" x14ac:dyDescent="0.25">
      <c r="A302" s="30">
        <v>43978</v>
      </c>
      <c r="B302" s="32"/>
      <c r="C302" s="32"/>
      <c r="D302" s="31"/>
      <c r="E302" s="44"/>
      <c r="F302" s="31"/>
      <c r="G302" s="31"/>
      <c r="H302" s="31"/>
      <c r="I302" s="33">
        <v>30</v>
      </c>
      <c r="J302" s="33">
        <f>60*30</f>
        <v>1800</v>
      </c>
      <c r="K302" s="33">
        <f>60*60</f>
        <v>3600</v>
      </c>
      <c r="L302" s="33">
        <f>60*60*24</f>
        <v>86400</v>
      </c>
      <c r="M302" s="33">
        <f>60*60*24*7</f>
        <v>604800</v>
      </c>
      <c r="N302" s="33">
        <f>60*60*24*41</f>
        <v>3542400</v>
      </c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"/>
      <c r="BF302" s="1"/>
      <c r="BG302" s="1"/>
      <c r="BH302" s="1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</row>
    <row r="303" spans="1:73" x14ac:dyDescent="0.25">
      <c r="A303" s="30">
        <v>43978</v>
      </c>
      <c r="B303" s="32" t="s">
        <v>508</v>
      </c>
      <c r="C303" s="32" t="s">
        <v>509</v>
      </c>
      <c r="D303" s="31">
        <v>1998</v>
      </c>
      <c r="E303" s="44">
        <v>1</v>
      </c>
      <c r="F303" s="31" t="s">
        <v>25</v>
      </c>
      <c r="G303" s="31" t="s">
        <v>197</v>
      </c>
      <c r="H303" s="31" t="s">
        <v>187</v>
      </c>
      <c r="I303" s="35">
        <f>(1+0.98)/2</f>
        <v>0.99</v>
      </c>
      <c r="J303" s="35">
        <f>(0.71+0.5)/2</f>
        <v>0.60499999999999998</v>
      </c>
      <c r="K303" s="35">
        <f>(0.68+0.55)/2</f>
        <v>0.61499999999999999</v>
      </c>
      <c r="L303" s="35">
        <f>(0.56+0.55)/2</f>
        <v>0.55500000000000005</v>
      </c>
      <c r="M303" s="35">
        <f>(0.52+0.39)/2</f>
        <v>0.45500000000000002</v>
      </c>
      <c r="N303" s="35">
        <f>(0.22+0.1)/2</f>
        <v>0.16</v>
      </c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"/>
      <c r="BF303" s="1"/>
      <c r="BG303" s="1"/>
      <c r="BH303" s="1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</row>
    <row r="304" spans="1:73" x14ac:dyDescent="0.25">
      <c r="A304" s="27">
        <v>43509</v>
      </c>
      <c r="B304" s="1"/>
      <c r="C304" s="1"/>
      <c r="D304" s="23"/>
      <c r="E304" s="38"/>
      <c r="F304" s="23"/>
      <c r="G304" s="23"/>
      <c r="H304" s="23"/>
      <c r="I304" s="12">
        <f>20*60</f>
        <v>1200</v>
      </c>
      <c r="J304" s="12">
        <f>60*60</f>
        <v>3600</v>
      </c>
      <c r="K304" s="12">
        <f>4*60*60</f>
        <v>14400</v>
      </c>
      <c r="L304" s="12">
        <f>24*3600</f>
        <v>86400</v>
      </c>
      <c r="M304" s="12">
        <f>24*3600*2</f>
        <v>172800</v>
      </c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"/>
      <c r="BF304" s="1"/>
      <c r="BG304" s="1"/>
      <c r="BH304" s="1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</row>
    <row r="305" spans="1:73" x14ac:dyDescent="0.25">
      <c r="A305" s="27">
        <v>43509</v>
      </c>
      <c r="B305" s="1" t="s">
        <v>75</v>
      </c>
      <c r="C305" s="1" t="s">
        <v>76</v>
      </c>
      <c r="D305" s="23">
        <v>1922</v>
      </c>
      <c r="E305" s="38">
        <v>2</v>
      </c>
      <c r="F305" s="23" t="s">
        <v>426</v>
      </c>
      <c r="G305" s="23"/>
      <c r="H305" s="23" t="s">
        <v>174</v>
      </c>
      <c r="I305" s="18">
        <v>0.97799999999999998</v>
      </c>
      <c r="J305" s="18">
        <v>0.94599999999999995</v>
      </c>
      <c r="K305" s="18">
        <v>0.93300000000000005</v>
      </c>
      <c r="L305" s="18">
        <v>0.746</v>
      </c>
      <c r="M305" s="18">
        <v>0.71499999999999997</v>
      </c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"/>
      <c r="BF305" s="1"/>
      <c r="BG305" s="1"/>
      <c r="BH305" s="1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</row>
    <row r="306" spans="1:73" x14ac:dyDescent="0.25">
      <c r="A306" s="27">
        <v>43509</v>
      </c>
      <c r="B306" s="1"/>
      <c r="C306" s="1"/>
      <c r="D306" s="23"/>
      <c r="E306" s="38"/>
      <c r="F306" s="23"/>
      <c r="G306" s="23"/>
      <c r="H306" s="23"/>
      <c r="I306" s="12">
        <f>20*60</f>
        <v>1200</v>
      </c>
      <c r="J306" s="12">
        <f>60*60</f>
        <v>3600</v>
      </c>
      <c r="K306" s="12">
        <f>4*60*60</f>
        <v>14400</v>
      </c>
      <c r="L306" s="12">
        <f>24*3600</f>
        <v>86400</v>
      </c>
      <c r="M306" s="12">
        <f>24*3600*2</f>
        <v>172800</v>
      </c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"/>
      <c r="BF306" s="1"/>
      <c r="BG306" s="1"/>
      <c r="BH306" s="1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</row>
    <row r="307" spans="1:73" x14ac:dyDescent="0.25">
      <c r="A307" s="27">
        <v>43509</v>
      </c>
      <c r="B307" s="1" t="s">
        <v>75</v>
      </c>
      <c r="C307" s="1" t="s">
        <v>76</v>
      </c>
      <c r="D307" s="23">
        <v>1922</v>
      </c>
      <c r="E307" s="38">
        <v>2</v>
      </c>
      <c r="F307" s="23" t="s">
        <v>426</v>
      </c>
      <c r="G307" s="23"/>
      <c r="H307" s="23" t="s">
        <v>174</v>
      </c>
      <c r="I307" s="18">
        <v>0.91500000000000004</v>
      </c>
      <c r="J307" s="18">
        <v>0.89700000000000002</v>
      </c>
      <c r="K307" s="18">
        <v>0.754</v>
      </c>
      <c r="L307" s="18">
        <v>0.50900000000000001</v>
      </c>
      <c r="M307" s="18">
        <v>0.38600000000000001</v>
      </c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"/>
      <c r="BF307" s="1"/>
      <c r="BG307" s="1"/>
      <c r="BH307" s="1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</row>
    <row r="308" spans="1:73" x14ac:dyDescent="0.25">
      <c r="A308" s="27">
        <v>43912</v>
      </c>
      <c r="B308" s="1"/>
      <c r="C308" s="1"/>
      <c r="D308" s="23"/>
      <c r="E308" s="38"/>
      <c r="F308" s="23"/>
      <c r="G308" s="23"/>
      <c r="H308" s="23"/>
      <c r="I308" s="12">
        <f>2*60*60</f>
        <v>7200</v>
      </c>
      <c r="J308" s="12">
        <f>3*60*60</f>
        <v>10800</v>
      </c>
      <c r="K308" s="12">
        <f>4*60*60</f>
        <v>14400</v>
      </c>
      <c r="L308" s="12">
        <f>6*60*60</f>
        <v>21600</v>
      </c>
      <c r="M308" s="12">
        <f>12*60*60</f>
        <v>43200</v>
      </c>
      <c r="N308" s="12">
        <f>24*3600</f>
        <v>86400</v>
      </c>
      <c r="O308" s="12">
        <f>24*3600*2</f>
        <v>172800</v>
      </c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"/>
      <c r="BF308" s="1"/>
      <c r="BG308" s="1"/>
      <c r="BH308" s="1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</row>
    <row r="309" spans="1:73" x14ac:dyDescent="0.25">
      <c r="A309" s="27">
        <v>43912</v>
      </c>
      <c r="B309" s="1" t="s">
        <v>75</v>
      </c>
      <c r="C309" s="1" t="s">
        <v>76</v>
      </c>
      <c r="D309" s="23">
        <v>1922</v>
      </c>
      <c r="E309" s="38">
        <v>3</v>
      </c>
      <c r="F309" s="23" t="s">
        <v>427</v>
      </c>
      <c r="G309" s="36">
        <v>1.5</v>
      </c>
      <c r="H309" s="23" t="s">
        <v>174</v>
      </c>
      <c r="I309" s="18">
        <v>0.88</v>
      </c>
      <c r="J309" s="18">
        <v>0.84</v>
      </c>
      <c r="K309" s="18">
        <v>0.82</v>
      </c>
      <c r="L309" s="18">
        <v>0.66</v>
      </c>
      <c r="M309" s="18">
        <v>0.54</v>
      </c>
      <c r="N309" s="18">
        <v>0.39</v>
      </c>
      <c r="O309" s="18">
        <v>0.31</v>
      </c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"/>
      <c r="BF309" s="1"/>
      <c r="BG309" s="1"/>
      <c r="BH309" s="1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</row>
    <row r="310" spans="1:73" x14ac:dyDescent="0.25">
      <c r="A310" s="27">
        <v>43912</v>
      </c>
      <c r="B310" s="1"/>
      <c r="C310" s="1"/>
      <c r="D310" s="23"/>
      <c r="E310" s="38"/>
      <c r="F310" s="23"/>
      <c r="G310" s="23"/>
      <c r="H310" s="23"/>
      <c r="I310" s="12">
        <f>20*60</f>
        <v>1200</v>
      </c>
      <c r="J310" s="12">
        <f>60*60</f>
        <v>3600</v>
      </c>
      <c r="K310" s="12">
        <f>4*60*60</f>
        <v>14400</v>
      </c>
      <c r="L310" s="12">
        <f>24*3600</f>
        <v>86400</v>
      </c>
      <c r="M310" s="12">
        <f>24*3600*2</f>
        <v>172800</v>
      </c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"/>
      <c r="BF310" s="1"/>
      <c r="BG310" s="1"/>
      <c r="BH310" s="1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</row>
    <row r="311" spans="1:73" x14ac:dyDescent="0.25">
      <c r="A311" s="27">
        <v>43912</v>
      </c>
      <c r="B311" s="1" t="s">
        <v>75</v>
      </c>
      <c r="C311" s="1" t="s">
        <v>76</v>
      </c>
      <c r="D311" s="23">
        <v>1922</v>
      </c>
      <c r="E311" s="38">
        <v>3</v>
      </c>
      <c r="F311" s="23" t="s">
        <v>427</v>
      </c>
      <c r="G311" s="36">
        <v>1</v>
      </c>
      <c r="H311" s="23" t="s">
        <v>174</v>
      </c>
      <c r="I311" s="18">
        <v>0.91</v>
      </c>
      <c r="J311" s="18">
        <v>0.86</v>
      </c>
      <c r="K311" s="18">
        <v>0.65</v>
      </c>
      <c r="L311" s="18">
        <v>0.46</v>
      </c>
      <c r="M311" s="18">
        <v>0.4</v>
      </c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"/>
      <c r="BF311" s="1"/>
      <c r="BG311" s="1"/>
      <c r="BH311" s="1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</row>
    <row r="312" spans="1:73" x14ac:dyDescent="0.25">
      <c r="A312" s="27">
        <v>43912</v>
      </c>
      <c r="B312" s="1"/>
      <c r="C312" s="1"/>
      <c r="D312" s="23"/>
      <c r="E312" s="38"/>
      <c r="F312" s="23"/>
      <c r="G312" s="23"/>
      <c r="H312" s="23"/>
      <c r="I312" s="12">
        <f>20*60</f>
        <v>1200</v>
      </c>
      <c r="J312" s="12">
        <f>60*60</f>
        <v>3600</v>
      </c>
      <c r="K312" s="12">
        <f>4*60*60</f>
        <v>14400</v>
      </c>
      <c r="L312" s="12">
        <f>24*3600</f>
        <v>86400</v>
      </c>
      <c r="M312" s="12">
        <f>24*3600*2</f>
        <v>172800</v>
      </c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"/>
      <c r="BF312" s="1"/>
      <c r="BG312" s="1"/>
      <c r="BH312" s="1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</row>
    <row r="313" spans="1:73" x14ac:dyDescent="0.25">
      <c r="A313" s="27">
        <v>43912</v>
      </c>
      <c r="B313" s="1" t="s">
        <v>75</v>
      </c>
      <c r="C313" s="1" t="s">
        <v>76</v>
      </c>
      <c r="D313" s="23">
        <v>1922</v>
      </c>
      <c r="E313" s="38">
        <v>3</v>
      </c>
      <c r="F313" s="23" t="s">
        <v>427</v>
      </c>
      <c r="G313" s="36">
        <v>0.67</v>
      </c>
      <c r="H313" s="23" t="s">
        <v>174</v>
      </c>
      <c r="I313" s="18">
        <v>0.85</v>
      </c>
      <c r="J313" s="18">
        <v>0.73</v>
      </c>
      <c r="K313" s="18">
        <v>0.66</v>
      </c>
      <c r="L313" s="18">
        <v>0.42</v>
      </c>
      <c r="M313" s="18">
        <v>0.25</v>
      </c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"/>
      <c r="BF313" s="1"/>
      <c r="BG313" s="1"/>
      <c r="BH313" s="1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</row>
    <row r="314" spans="1:73" x14ac:dyDescent="0.25">
      <c r="A314" s="27">
        <v>43912</v>
      </c>
      <c r="B314" s="1"/>
      <c r="C314" s="1"/>
      <c r="D314" s="23"/>
      <c r="E314" s="38"/>
      <c r="F314" s="23"/>
      <c r="G314" s="23"/>
      <c r="H314" s="23"/>
      <c r="I314" s="12">
        <f>20*60</f>
        <v>1200</v>
      </c>
      <c r="J314" s="12">
        <f>60*60</f>
        <v>3600</v>
      </c>
      <c r="K314" s="12">
        <f>4*60*60</f>
        <v>14400</v>
      </c>
      <c r="L314" s="12">
        <f>24*3600</f>
        <v>86400</v>
      </c>
      <c r="M314" s="12">
        <f>24*3600*2</f>
        <v>172800</v>
      </c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"/>
      <c r="BF314" s="1"/>
      <c r="BG314" s="1"/>
      <c r="BH314" s="1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</row>
    <row r="315" spans="1:73" x14ac:dyDescent="0.25">
      <c r="A315" s="27">
        <v>43912</v>
      </c>
      <c r="B315" s="1" t="s">
        <v>75</v>
      </c>
      <c r="C315" s="1" t="s">
        <v>76</v>
      </c>
      <c r="D315" s="23">
        <v>1922</v>
      </c>
      <c r="E315" s="38">
        <v>3</v>
      </c>
      <c r="F315" s="23" t="s">
        <v>427</v>
      </c>
      <c r="G315" s="36">
        <v>0.33</v>
      </c>
      <c r="H315" s="23" t="s">
        <v>174</v>
      </c>
      <c r="I315" s="18">
        <v>0.68</v>
      </c>
      <c r="J315" s="18">
        <v>0.54</v>
      </c>
      <c r="K315" s="18">
        <v>0.43</v>
      </c>
      <c r="L315" s="18">
        <v>0.26</v>
      </c>
      <c r="M315" s="18">
        <v>0.14000000000000001</v>
      </c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"/>
      <c r="BF315" s="1"/>
      <c r="BG315" s="1"/>
      <c r="BH315" s="1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</row>
    <row r="316" spans="1:73" x14ac:dyDescent="0.25">
      <c r="A316" s="27">
        <v>43912</v>
      </c>
      <c r="B316" s="1"/>
      <c r="C316" s="1"/>
      <c r="D316" s="23"/>
      <c r="E316" s="38"/>
      <c r="F316" s="23"/>
      <c r="G316" s="23"/>
      <c r="H316" s="23"/>
      <c r="I316" s="12">
        <f>2*60*60</f>
        <v>7200</v>
      </c>
      <c r="J316" s="12">
        <f>3*60*60</f>
        <v>10800</v>
      </c>
      <c r="K316" s="12">
        <f>4*60*60</f>
        <v>14400</v>
      </c>
      <c r="L316" s="12">
        <f>6*60*60</f>
        <v>21600</v>
      </c>
      <c r="M316" s="12">
        <f>12*60*60</f>
        <v>43200</v>
      </c>
      <c r="N316" s="12">
        <f>24*3600</f>
        <v>86400</v>
      </c>
      <c r="O316" s="12">
        <f>24*3600*2</f>
        <v>172800</v>
      </c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"/>
      <c r="BF316" s="1"/>
      <c r="BG316" s="1"/>
      <c r="BH316" s="1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</row>
    <row r="317" spans="1:73" x14ac:dyDescent="0.25">
      <c r="A317" s="27">
        <v>43912</v>
      </c>
      <c r="B317" s="1" t="s">
        <v>75</v>
      </c>
      <c r="C317" s="1" t="s">
        <v>76</v>
      </c>
      <c r="D317" s="23">
        <v>1922</v>
      </c>
      <c r="E317" s="38">
        <v>3</v>
      </c>
      <c r="F317" s="23" t="s">
        <v>427</v>
      </c>
      <c r="G317" s="36">
        <v>1.5</v>
      </c>
      <c r="H317" s="23" t="s">
        <v>174</v>
      </c>
      <c r="I317" s="18">
        <v>0.98</v>
      </c>
      <c r="J317" s="18">
        <v>0.96</v>
      </c>
      <c r="K317" s="18">
        <v>0.93</v>
      </c>
      <c r="L317" s="18">
        <v>0.92</v>
      </c>
      <c r="M317" s="18">
        <v>0.93</v>
      </c>
      <c r="N317" s="18">
        <v>0.83</v>
      </c>
      <c r="O317" s="18">
        <v>0.73</v>
      </c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"/>
      <c r="BF317" s="1"/>
      <c r="BG317" s="1"/>
      <c r="BH317" s="1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</row>
    <row r="318" spans="1:73" x14ac:dyDescent="0.25">
      <c r="A318" s="27">
        <v>43912</v>
      </c>
      <c r="B318" s="1"/>
      <c r="C318" s="1"/>
      <c r="D318" s="23"/>
      <c r="E318" s="38"/>
      <c r="F318" s="23"/>
      <c r="G318" s="23"/>
      <c r="H318" s="23"/>
      <c r="I318" s="12">
        <f>20*60</f>
        <v>1200</v>
      </c>
      <c r="J318" s="12">
        <f>60*60</f>
        <v>3600</v>
      </c>
      <c r="K318" s="12">
        <f>4*60*60</f>
        <v>14400</v>
      </c>
      <c r="L318" s="12">
        <f>24*3600</f>
        <v>86400</v>
      </c>
      <c r="M318" s="12">
        <f>24*3600*2</f>
        <v>172800</v>
      </c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"/>
      <c r="BF318" s="1"/>
      <c r="BG318" s="1"/>
      <c r="BH318" s="1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</row>
    <row r="319" spans="1:73" x14ac:dyDescent="0.25">
      <c r="A319" s="27">
        <v>43912</v>
      </c>
      <c r="B319" s="1" t="s">
        <v>75</v>
      </c>
      <c r="C319" s="1" t="s">
        <v>76</v>
      </c>
      <c r="D319" s="23">
        <v>1922</v>
      </c>
      <c r="E319" s="38">
        <v>3</v>
      </c>
      <c r="F319" s="23" t="s">
        <v>427</v>
      </c>
      <c r="G319" s="36">
        <v>1</v>
      </c>
      <c r="H319" s="23" t="s">
        <v>174</v>
      </c>
      <c r="I319" s="18">
        <v>0.96</v>
      </c>
      <c r="J319" s="18">
        <v>0.93</v>
      </c>
      <c r="K319" s="18">
        <v>0.92</v>
      </c>
      <c r="L319" s="18">
        <v>0.78</v>
      </c>
      <c r="M319" s="18">
        <v>0.79</v>
      </c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"/>
      <c r="BF319" s="1"/>
      <c r="BG319" s="1"/>
      <c r="BH319" s="1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</row>
    <row r="320" spans="1:73" x14ac:dyDescent="0.25">
      <c r="A320" s="27">
        <v>43912</v>
      </c>
      <c r="B320" s="1"/>
      <c r="C320" s="1"/>
      <c r="D320" s="23"/>
      <c r="E320" s="38"/>
      <c r="F320" s="23"/>
      <c r="G320" s="23"/>
      <c r="H320" s="23"/>
      <c r="I320" s="12">
        <f>20*60</f>
        <v>1200</v>
      </c>
      <c r="J320" s="12">
        <f>60*60</f>
        <v>3600</v>
      </c>
      <c r="K320" s="12">
        <f>4*60*60</f>
        <v>14400</v>
      </c>
      <c r="L320" s="12">
        <f>24*3600</f>
        <v>86400</v>
      </c>
      <c r="M320" s="12">
        <f>24*3600*2</f>
        <v>172800</v>
      </c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"/>
      <c r="BF320" s="1"/>
      <c r="BG320" s="1"/>
      <c r="BH320" s="1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</row>
    <row r="321" spans="1:73" x14ac:dyDescent="0.25">
      <c r="A321" s="27">
        <v>43912</v>
      </c>
      <c r="B321" s="1" t="s">
        <v>75</v>
      </c>
      <c r="C321" s="1" t="s">
        <v>76</v>
      </c>
      <c r="D321" s="23">
        <v>1922</v>
      </c>
      <c r="E321" s="38">
        <v>3</v>
      </c>
      <c r="F321" s="23" t="s">
        <v>427</v>
      </c>
      <c r="G321" s="36">
        <v>0.67</v>
      </c>
      <c r="H321" s="23" t="s">
        <v>174</v>
      </c>
      <c r="I321" s="18">
        <v>0.93</v>
      </c>
      <c r="J321" s="18">
        <v>0.93</v>
      </c>
      <c r="K321" s="18">
        <v>0.85</v>
      </c>
      <c r="L321" s="18">
        <v>0.74</v>
      </c>
      <c r="M321" s="18">
        <v>0.62</v>
      </c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"/>
      <c r="BF321" s="1"/>
      <c r="BG321" s="1"/>
      <c r="BH321" s="1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</row>
    <row r="322" spans="1:73" x14ac:dyDescent="0.25">
      <c r="A322" s="27">
        <v>43912</v>
      </c>
      <c r="B322" s="1"/>
      <c r="C322" s="1"/>
      <c r="D322" s="23"/>
      <c r="E322" s="38"/>
      <c r="F322" s="23"/>
      <c r="G322" s="23"/>
      <c r="H322" s="23"/>
      <c r="I322" s="12">
        <f>20*60</f>
        <v>1200</v>
      </c>
      <c r="J322" s="12">
        <f>60*60</f>
        <v>3600</v>
      </c>
      <c r="K322" s="12">
        <f>4*60*60</f>
        <v>14400</v>
      </c>
      <c r="L322" s="12">
        <f>24*3600</f>
        <v>86400</v>
      </c>
      <c r="M322" s="12">
        <f>24*3600*2</f>
        <v>172800</v>
      </c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"/>
      <c r="BF322" s="1"/>
      <c r="BG322" s="1"/>
      <c r="BH322" s="1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</row>
    <row r="323" spans="1:73" x14ac:dyDescent="0.25">
      <c r="A323" s="27">
        <v>43912</v>
      </c>
      <c r="B323" s="1" t="s">
        <v>75</v>
      </c>
      <c r="C323" s="1" t="s">
        <v>76</v>
      </c>
      <c r="D323" s="23">
        <v>1922</v>
      </c>
      <c r="E323" s="38">
        <v>3</v>
      </c>
      <c r="F323" s="23" t="s">
        <v>427</v>
      </c>
      <c r="G323" s="36">
        <v>0.33</v>
      </c>
      <c r="H323" s="23" t="s">
        <v>174</v>
      </c>
      <c r="I323" s="18">
        <v>0.73</v>
      </c>
      <c r="J323" s="18">
        <v>0.64</v>
      </c>
      <c r="K323" s="18">
        <v>0.55000000000000004</v>
      </c>
      <c r="L323" s="18">
        <v>0.46</v>
      </c>
      <c r="M323" s="18">
        <v>0.26</v>
      </c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"/>
      <c r="BF323" s="1"/>
      <c r="BG323" s="1"/>
      <c r="BH323" s="1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</row>
    <row r="324" spans="1:73" x14ac:dyDescent="0.25">
      <c r="A324" s="30">
        <v>43896</v>
      </c>
      <c r="B324" s="32"/>
      <c r="C324" s="29"/>
      <c r="D324" s="43"/>
      <c r="E324" s="44"/>
      <c r="F324" s="31"/>
      <c r="G324" s="31"/>
      <c r="H324" s="31"/>
      <c r="I324" s="33">
        <v>315360000</v>
      </c>
      <c r="J324" s="33">
        <v>630720000</v>
      </c>
      <c r="K324" s="33">
        <v>646080000</v>
      </c>
      <c r="L324" s="33">
        <v>12614400000</v>
      </c>
      <c r="M324" s="33">
        <v>1576800000</v>
      </c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"/>
      <c r="BF324" s="1"/>
      <c r="BG324" s="1"/>
      <c r="BH324" s="1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</row>
    <row r="325" spans="1:73" x14ac:dyDescent="0.25">
      <c r="A325" s="30">
        <v>43896</v>
      </c>
      <c r="B325" s="32" t="s">
        <v>221</v>
      </c>
      <c r="C325" s="32" t="s">
        <v>36</v>
      </c>
      <c r="D325" s="31">
        <v>1975</v>
      </c>
      <c r="E325" s="44">
        <v>1</v>
      </c>
      <c r="F325" s="31" t="s">
        <v>222</v>
      </c>
      <c r="G325" s="31" t="s">
        <v>197</v>
      </c>
      <c r="H325" s="31" t="s">
        <v>208</v>
      </c>
      <c r="I325" s="35">
        <v>0.75</v>
      </c>
      <c r="J325" s="35">
        <v>0.69</v>
      </c>
      <c r="K325" s="35">
        <v>0.84</v>
      </c>
      <c r="L325" s="35">
        <v>0.56999999999999995</v>
      </c>
      <c r="M325" s="35">
        <v>0.38</v>
      </c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"/>
      <c r="BF325" s="1"/>
      <c r="BG325" s="1"/>
      <c r="BH325" s="1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</row>
    <row r="326" spans="1:73" x14ac:dyDescent="0.25">
      <c r="A326" s="27">
        <v>43978</v>
      </c>
      <c r="B326" s="1"/>
      <c r="C326" s="1"/>
      <c r="D326" s="23"/>
      <c r="E326" s="38"/>
      <c r="F326" s="23"/>
      <c r="G326" s="23"/>
      <c r="H326" s="23"/>
      <c r="I326" s="12">
        <v>30</v>
      </c>
      <c r="J326" s="12">
        <f>60*30</f>
        <v>1800</v>
      </c>
      <c r="K326" s="12">
        <f>60*60*24</f>
        <v>86400</v>
      </c>
      <c r="L326" s="18"/>
      <c r="M326" s="2" t="s">
        <v>500</v>
      </c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"/>
      <c r="BF326" s="1"/>
      <c r="BG326" s="1"/>
      <c r="BH326" s="1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</row>
    <row r="327" spans="1:73" x14ac:dyDescent="0.25">
      <c r="A327" s="27">
        <v>43978</v>
      </c>
      <c r="B327" s="1" t="s">
        <v>511</v>
      </c>
      <c r="C327" s="1" t="s">
        <v>233</v>
      </c>
      <c r="D327" s="23">
        <v>1991</v>
      </c>
      <c r="E327" s="38">
        <v>1</v>
      </c>
      <c r="F327" s="23" t="s">
        <v>32</v>
      </c>
      <c r="G327" s="23" t="s">
        <v>197</v>
      </c>
      <c r="H327" s="23" t="s">
        <v>12</v>
      </c>
      <c r="I327" s="18">
        <v>1</v>
      </c>
      <c r="J327" s="18">
        <v>0.89489739240535826</v>
      </c>
      <c r="K327" s="18">
        <v>0.80895755939653835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"/>
      <c r="BF327" s="1"/>
      <c r="BG327" s="1"/>
      <c r="BH327" s="1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</row>
    <row r="328" spans="1:73" x14ac:dyDescent="0.25">
      <c r="A328" s="27">
        <v>43902</v>
      </c>
      <c r="B328" s="1"/>
      <c r="C328" s="1"/>
      <c r="D328" s="23"/>
      <c r="E328" s="38"/>
      <c r="F328" s="23"/>
      <c r="G328" s="23"/>
      <c r="H328" s="23"/>
      <c r="I328" s="12">
        <v>315360000</v>
      </c>
      <c r="J328" s="12">
        <v>630720000</v>
      </c>
      <c r="K328" s="12">
        <v>946080000</v>
      </c>
      <c r="L328" s="12">
        <v>1261440000</v>
      </c>
      <c r="M328" s="12">
        <v>1576800000</v>
      </c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"/>
      <c r="BF328" s="1"/>
      <c r="BG328" s="1"/>
      <c r="BH328" s="1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</row>
    <row r="329" spans="1:73" x14ac:dyDescent="0.25">
      <c r="A329" s="27">
        <v>43902</v>
      </c>
      <c r="B329" s="1" t="s">
        <v>275</v>
      </c>
      <c r="C329" s="1" t="s">
        <v>215</v>
      </c>
      <c r="D329" s="23">
        <v>1988</v>
      </c>
      <c r="E329" s="38">
        <v>1</v>
      </c>
      <c r="F329" s="23" t="s">
        <v>277</v>
      </c>
      <c r="G329" s="23" t="s">
        <v>197</v>
      </c>
      <c r="H329" s="22" t="s">
        <v>213</v>
      </c>
      <c r="I329" s="18">
        <v>0.64</v>
      </c>
      <c r="J329" s="18">
        <v>0.57999999999999996</v>
      </c>
      <c r="K329" s="18">
        <v>0.38</v>
      </c>
      <c r="L329" s="18">
        <v>0.49</v>
      </c>
      <c r="M329" s="18">
        <v>0.28999999999999998</v>
      </c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"/>
      <c r="BF329" s="1"/>
      <c r="BG329" s="1"/>
      <c r="BH329" s="1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</row>
    <row r="330" spans="1:73" x14ac:dyDescent="0.25">
      <c r="A330" s="27">
        <v>43902</v>
      </c>
      <c r="B330" s="1"/>
      <c r="C330" s="1"/>
      <c r="D330" s="23"/>
      <c r="E330" s="38"/>
      <c r="F330" s="23"/>
      <c r="G330" s="23"/>
      <c r="H330" s="23"/>
      <c r="I330" s="12">
        <v>315360000</v>
      </c>
      <c r="J330" s="12">
        <v>630720000</v>
      </c>
      <c r="K330" s="12">
        <v>946080000</v>
      </c>
      <c r="L330" s="12">
        <v>1261440000</v>
      </c>
      <c r="M330" s="12">
        <v>1576800000</v>
      </c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"/>
      <c r="BF330" s="1"/>
      <c r="BG330" s="1"/>
      <c r="BH330" s="1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</row>
    <row r="331" spans="1:73" x14ac:dyDescent="0.25">
      <c r="A331" s="27">
        <v>43902</v>
      </c>
      <c r="B331" s="1" t="s">
        <v>275</v>
      </c>
      <c r="C331" s="1" t="s">
        <v>215</v>
      </c>
      <c r="D331" s="23">
        <v>1988</v>
      </c>
      <c r="E331" s="38">
        <v>1</v>
      </c>
      <c r="F331" s="23" t="s">
        <v>277</v>
      </c>
      <c r="G331" s="23" t="s">
        <v>197</v>
      </c>
      <c r="H331" s="22" t="s">
        <v>213</v>
      </c>
      <c r="I331" s="18">
        <v>0.92</v>
      </c>
      <c r="J331" s="18">
        <v>0.88</v>
      </c>
      <c r="K331" s="18">
        <v>0.78</v>
      </c>
      <c r="L331" s="18">
        <v>0.88</v>
      </c>
      <c r="M331" s="18">
        <v>0.48</v>
      </c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"/>
      <c r="BF331" s="1"/>
      <c r="BG331" s="1"/>
      <c r="BH331" s="1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</row>
    <row r="332" spans="1:73" x14ac:dyDescent="0.25">
      <c r="A332" s="27">
        <v>43902</v>
      </c>
      <c r="B332" s="1"/>
      <c r="C332" s="1"/>
      <c r="D332" s="23"/>
      <c r="E332" s="38"/>
      <c r="F332" s="23"/>
      <c r="G332" s="23"/>
      <c r="H332" s="23"/>
      <c r="I332" s="12">
        <v>315360000</v>
      </c>
      <c r="J332" s="12">
        <v>630720000</v>
      </c>
      <c r="K332" s="12">
        <v>946080000</v>
      </c>
      <c r="L332" s="12">
        <v>1261440000</v>
      </c>
      <c r="M332" s="12">
        <v>1576800000</v>
      </c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"/>
      <c r="BF332" s="1"/>
      <c r="BG332" s="1"/>
      <c r="BH332" s="1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</row>
    <row r="333" spans="1:73" x14ac:dyDescent="0.25">
      <c r="A333" s="27">
        <v>43902</v>
      </c>
      <c r="B333" s="1" t="s">
        <v>275</v>
      </c>
      <c r="C333" s="1" t="s">
        <v>215</v>
      </c>
      <c r="D333" s="23">
        <v>1988</v>
      </c>
      <c r="E333" s="38">
        <v>1</v>
      </c>
      <c r="F333" s="23" t="s">
        <v>278</v>
      </c>
      <c r="G333" s="23" t="s">
        <v>197</v>
      </c>
      <c r="H333" s="23" t="s">
        <v>206</v>
      </c>
      <c r="I333" s="18">
        <v>0.64</v>
      </c>
      <c r="J333" s="18">
        <v>0.56000000000000005</v>
      </c>
      <c r="K333" s="18">
        <v>0.38</v>
      </c>
      <c r="L333" s="18">
        <v>0.46</v>
      </c>
      <c r="M333" s="18">
        <v>0.34</v>
      </c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"/>
      <c r="BF333" s="1"/>
      <c r="BG333" s="1"/>
      <c r="BH333" s="1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</row>
    <row r="334" spans="1:73" x14ac:dyDescent="0.25">
      <c r="A334" s="27">
        <v>43902</v>
      </c>
      <c r="B334" s="1"/>
      <c r="C334" s="1"/>
      <c r="D334" s="23"/>
      <c r="E334" s="38"/>
      <c r="F334" s="23"/>
      <c r="G334" s="23"/>
      <c r="H334" s="23"/>
      <c r="I334" s="12">
        <v>315360000</v>
      </c>
      <c r="J334" s="12">
        <v>630720000</v>
      </c>
      <c r="K334" s="12">
        <v>946080000</v>
      </c>
      <c r="L334" s="12">
        <v>1261440000</v>
      </c>
      <c r="M334" s="12">
        <v>1576800000</v>
      </c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"/>
      <c r="BF334" s="1"/>
      <c r="BG334" s="1"/>
      <c r="BH334" s="1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</row>
    <row r="335" spans="1:73" x14ac:dyDescent="0.25">
      <c r="A335" s="27">
        <v>43902</v>
      </c>
      <c r="B335" s="1" t="s">
        <v>275</v>
      </c>
      <c r="C335" s="1" t="s">
        <v>215</v>
      </c>
      <c r="D335" s="23">
        <v>1988</v>
      </c>
      <c r="E335" s="38">
        <v>1</v>
      </c>
      <c r="F335" s="23" t="s">
        <v>278</v>
      </c>
      <c r="G335" s="23" t="s">
        <v>197</v>
      </c>
      <c r="H335" s="23" t="s">
        <v>206</v>
      </c>
      <c r="I335" s="18">
        <v>0.83</v>
      </c>
      <c r="J335" s="18">
        <v>0.8</v>
      </c>
      <c r="K335" s="18">
        <v>0.67</v>
      </c>
      <c r="L335" s="18">
        <v>0.66</v>
      </c>
      <c r="M335" s="18">
        <v>0.61</v>
      </c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"/>
      <c r="BF335" s="1"/>
      <c r="BG335" s="1"/>
      <c r="BH335" s="1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</row>
    <row r="336" spans="1:73" x14ac:dyDescent="0.25">
      <c r="A336" s="30">
        <v>43509</v>
      </c>
      <c r="B336" s="32"/>
      <c r="C336" s="32"/>
      <c r="D336" s="31"/>
      <c r="E336" s="44"/>
      <c r="F336" s="31"/>
      <c r="G336" s="31"/>
      <c r="H336" s="31"/>
      <c r="I336" s="33">
        <f>60*3</f>
        <v>180</v>
      </c>
      <c r="J336" s="33">
        <f>60*9</f>
        <v>540</v>
      </c>
      <c r="K336" s="33">
        <f>60*12</f>
        <v>720</v>
      </c>
      <c r="L336" s="33">
        <f>60*15</f>
        <v>900</v>
      </c>
      <c r="M336" s="33">
        <f>60*42</f>
        <v>2520</v>
      </c>
      <c r="N336" s="33">
        <f>60*66</f>
        <v>3960</v>
      </c>
      <c r="O336" s="33">
        <f>60*90</f>
        <v>5400</v>
      </c>
      <c r="P336" s="35"/>
      <c r="Q336" s="35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"/>
      <c r="BF336" s="1"/>
      <c r="BG336" s="1"/>
      <c r="BH336" s="1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</row>
    <row r="337" spans="1:73" x14ac:dyDescent="0.25">
      <c r="A337" s="30">
        <v>43509</v>
      </c>
      <c r="B337" s="32" t="s">
        <v>154</v>
      </c>
      <c r="C337" s="32" t="s">
        <v>28</v>
      </c>
      <c r="D337" s="31">
        <v>1997</v>
      </c>
      <c r="E337" s="44">
        <v>1</v>
      </c>
      <c r="F337" s="31" t="s">
        <v>22</v>
      </c>
      <c r="G337" s="31" t="s">
        <v>428</v>
      </c>
      <c r="H337" s="31" t="s">
        <v>12</v>
      </c>
      <c r="I337" s="35">
        <v>0.58908739242485797</v>
      </c>
      <c r="J337" s="35">
        <v>0.46979665533258902</v>
      </c>
      <c r="K337" s="35">
        <v>0.35322712565393799</v>
      </c>
      <c r="L337" s="35">
        <v>0.31165798177974102</v>
      </c>
      <c r="M337" s="35">
        <v>0.32905004655373699</v>
      </c>
      <c r="N337" s="35">
        <v>0.27139542898883201</v>
      </c>
      <c r="O337" s="35">
        <v>0.22623573166528599</v>
      </c>
      <c r="P337" s="35"/>
      <c r="Q337" s="35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"/>
      <c r="BF337" s="1"/>
      <c r="BG337" s="1"/>
      <c r="BH337" s="1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</row>
    <row r="338" spans="1:73" x14ac:dyDescent="0.25">
      <c r="A338" s="30">
        <v>43509</v>
      </c>
      <c r="B338" s="32"/>
      <c r="C338" s="32"/>
      <c r="D338" s="31"/>
      <c r="E338" s="44"/>
      <c r="F338" s="31"/>
      <c r="G338" s="31"/>
      <c r="H338" s="31"/>
      <c r="I338" s="33">
        <f>60*3</f>
        <v>180</v>
      </c>
      <c r="J338" s="33">
        <f>60*9</f>
        <v>540</v>
      </c>
      <c r="K338" s="33">
        <f>60*12</f>
        <v>720</v>
      </c>
      <c r="L338" s="33">
        <f>60*15</f>
        <v>900</v>
      </c>
      <c r="M338" s="33">
        <f>60*42</f>
        <v>2520</v>
      </c>
      <c r="N338" s="33">
        <f>60*66</f>
        <v>3960</v>
      </c>
      <c r="O338" s="33">
        <f>60*90</f>
        <v>5400</v>
      </c>
      <c r="P338" s="35"/>
      <c r="Q338" s="35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"/>
      <c r="BF338" s="1"/>
      <c r="BG338" s="1"/>
      <c r="BH338" s="1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</row>
    <row r="339" spans="1:73" x14ac:dyDescent="0.25">
      <c r="A339" s="30">
        <v>43509</v>
      </c>
      <c r="B339" s="32" t="s">
        <v>154</v>
      </c>
      <c r="C339" s="32" t="s">
        <v>28</v>
      </c>
      <c r="D339" s="31">
        <v>1997</v>
      </c>
      <c r="E339" s="44">
        <v>1</v>
      </c>
      <c r="F339" s="31" t="s">
        <v>22</v>
      </c>
      <c r="G339" s="31" t="s">
        <v>429</v>
      </c>
      <c r="H339" s="31" t="s">
        <v>12</v>
      </c>
      <c r="I339" s="35">
        <v>0.49186467008575102</v>
      </c>
      <c r="J339" s="35">
        <v>0.30868471545635501</v>
      </c>
      <c r="K339" s="35">
        <v>0.26989336364899003</v>
      </c>
      <c r="L339" s="35">
        <v>0.24221318010895099</v>
      </c>
      <c r="M339" s="35">
        <v>0.192943379338371</v>
      </c>
      <c r="N339" s="35">
        <v>0.14639478598140901</v>
      </c>
      <c r="O339" s="35">
        <v>0.14428829366406201</v>
      </c>
      <c r="P339" s="35"/>
      <c r="Q339" s="35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"/>
      <c r="BF339" s="1"/>
      <c r="BG339" s="1"/>
      <c r="BH339" s="1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</row>
    <row r="340" spans="1:73" x14ac:dyDescent="0.25">
      <c r="A340" s="30">
        <v>43509</v>
      </c>
      <c r="B340" s="32"/>
      <c r="C340" s="32"/>
      <c r="D340" s="31"/>
      <c r="E340" s="44"/>
      <c r="F340" s="31"/>
      <c r="G340" s="29"/>
      <c r="H340" s="31"/>
      <c r="I340" s="33">
        <f>60*1.5</f>
        <v>90</v>
      </c>
      <c r="J340" s="33">
        <f>60*4.5</f>
        <v>270</v>
      </c>
      <c r="K340" s="33">
        <f>60*9.54858818246651</f>
        <v>572.91529094799057</v>
      </c>
      <c r="L340" s="33">
        <f>60*15</f>
        <v>900</v>
      </c>
      <c r="M340" s="33">
        <f>60*22</f>
        <v>1320</v>
      </c>
      <c r="N340" s="33">
        <f>60*28</f>
        <v>1680</v>
      </c>
      <c r="O340" s="33">
        <f>60*35</f>
        <v>2100</v>
      </c>
      <c r="P340" s="33">
        <f>60*46</f>
        <v>2760</v>
      </c>
      <c r="Q340" s="33">
        <f>60*62.8</f>
        <v>3768</v>
      </c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"/>
      <c r="BF340" s="1"/>
      <c r="BG340" s="1"/>
      <c r="BH340" s="1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</row>
    <row r="341" spans="1:73" x14ac:dyDescent="0.25">
      <c r="A341" s="30">
        <v>43509</v>
      </c>
      <c r="B341" s="32" t="s">
        <v>154</v>
      </c>
      <c r="C341" s="32" t="s">
        <v>28</v>
      </c>
      <c r="D341" s="31">
        <v>1997</v>
      </c>
      <c r="E341" s="44">
        <v>3</v>
      </c>
      <c r="F341" s="31" t="s">
        <v>26</v>
      </c>
      <c r="G341" s="31" t="s">
        <v>428</v>
      </c>
      <c r="H341" s="31" t="s">
        <v>12</v>
      </c>
      <c r="I341" s="35">
        <v>0.54761615467920399</v>
      </c>
      <c r="J341" s="35">
        <v>0.38245067223117302</v>
      </c>
      <c r="K341" s="35">
        <v>0.27967986476135098</v>
      </c>
      <c r="L341" s="35">
        <v>0.25553765286985902</v>
      </c>
      <c r="M341" s="35">
        <v>0.26398478565202399</v>
      </c>
      <c r="N341" s="35">
        <v>0.30898333289310298</v>
      </c>
      <c r="O341" s="35">
        <v>0.28898280461713199</v>
      </c>
      <c r="P341" s="35">
        <v>0.29763596502813</v>
      </c>
      <c r="Q341" s="35">
        <v>0.31460683060830902</v>
      </c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"/>
      <c r="BF341" s="1"/>
      <c r="BG341" s="1"/>
      <c r="BH341" s="1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</row>
    <row r="342" spans="1:73" x14ac:dyDescent="0.25">
      <c r="A342" s="30">
        <v>43509</v>
      </c>
      <c r="B342" s="32"/>
      <c r="C342" s="32"/>
      <c r="D342" s="31"/>
      <c r="E342" s="44"/>
      <c r="F342" s="31"/>
      <c r="G342" s="31"/>
      <c r="H342" s="31"/>
      <c r="I342" s="33">
        <f>60*1.5</f>
        <v>90</v>
      </c>
      <c r="J342" s="33">
        <f>60*4.5</f>
        <v>270</v>
      </c>
      <c r="K342" s="33">
        <f>60*9.54858818246651</f>
        <v>572.91529094799057</v>
      </c>
      <c r="L342" s="33">
        <f>60*15</f>
        <v>900</v>
      </c>
      <c r="M342" s="33">
        <f>60*22</f>
        <v>1320</v>
      </c>
      <c r="N342" s="33">
        <f>60*28</f>
        <v>1680</v>
      </c>
      <c r="O342" s="33">
        <f>60*35</f>
        <v>2100</v>
      </c>
      <c r="P342" s="33">
        <f>60*46</f>
        <v>2760</v>
      </c>
      <c r="Q342" s="33">
        <f>60*62.8</f>
        <v>3768</v>
      </c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"/>
      <c r="BF342" s="1"/>
      <c r="BG342" s="1"/>
      <c r="BH342" s="1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</row>
    <row r="343" spans="1:73" x14ac:dyDescent="0.25">
      <c r="A343" s="30">
        <v>43509</v>
      </c>
      <c r="B343" s="32" t="s">
        <v>154</v>
      </c>
      <c r="C343" s="32" t="s">
        <v>28</v>
      </c>
      <c r="D343" s="31">
        <v>1997</v>
      </c>
      <c r="E343" s="44">
        <v>3</v>
      </c>
      <c r="F343" s="31" t="s">
        <v>26</v>
      </c>
      <c r="G343" s="31" t="s">
        <v>429</v>
      </c>
      <c r="H343" s="31" t="s">
        <v>12</v>
      </c>
      <c r="I343" s="35">
        <v>0.479870044111043</v>
      </c>
      <c r="J343" s="35">
        <v>0.295728888771494</v>
      </c>
      <c r="K343" s="35">
        <v>0.19024538418869999</v>
      </c>
      <c r="L343" s="35">
        <v>0.20946670540690401</v>
      </c>
      <c r="M343" s="35">
        <v>0.236884228320874</v>
      </c>
      <c r="N343" s="35">
        <v>0.261559998943448</v>
      </c>
      <c r="O343" s="35">
        <v>0.229358937108745</v>
      </c>
      <c r="P343" s="35">
        <v>0.224464460234026</v>
      </c>
      <c r="Q343" s="35">
        <v>0.26040571594600997</v>
      </c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"/>
      <c r="BF343" s="1"/>
      <c r="BG343" s="1"/>
      <c r="BH343" s="1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</row>
    <row r="344" spans="1:73" x14ac:dyDescent="0.25">
      <c r="A344" s="30">
        <v>43509</v>
      </c>
      <c r="B344" s="32"/>
      <c r="C344" s="32"/>
      <c r="D344" s="31"/>
      <c r="E344" s="44"/>
      <c r="F344" s="31"/>
      <c r="G344" s="31"/>
      <c r="H344" s="31"/>
      <c r="I344" s="33">
        <f>60*1.5</f>
        <v>90</v>
      </c>
      <c r="J344" s="33">
        <f>60*4.5</f>
        <v>270</v>
      </c>
      <c r="K344" s="33">
        <f>60*9.54858818246651</f>
        <v>572.91529094799057</v>
      </c>
      <c r="L344" s="33">
        <f>60*15</f>
        <v>900</v>
      </c>
      <c r="M344" s="33">
        <f>60*22</f>
        <v>1320</v>
      </c>
      <c r="N344" s="33">
        <f>60*28</f>
        <v>1680</v>
      </c>
      <c r="O344" s="33">
        <f>60*35</f>
        <v>2100</v>
      </c>
      <c r="P344" s="33">
        <f>60*46</f>
        <v>2760</v>
      </c>
      <c r="Q344" s="33">
        <f>60*62.8</f>
        <v>3768</v>
      </c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"/>
      <c r="BF344" s="1"/>
      <c r="BG344" s="1"/>
      <c r="BH344" s="1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</row>
    <row r="345" spans="1:73" x14ac:dyDescent="0.25">
      <c r="A345" s="30">
        <v>43509</v>
      </c>
      <c r="B345" s="32" t="s">
        <v>154</v>
      </c>
      <c r="C345" s="32" t="s">
        <v>28</v>
      </c>
      <c r="D345" s="31">
        <v>1997</v>
      </c>
      <c r="E345" s="44">
        <v>3</v>
      </c>
      <c r="F345" s="31" t="s">
        <v>26</v>
      </c>
      <c r="G345" s="31" t="s">
        <v>428</v>
      </c>
      <c r="H345" s="31" t="s">
        <v>12</v>
      </c>
      <c r="I345" s="35">
        <v>0.72106500435827603</v>
      </c>
      <c r="J345" s="35">
        <v>0.50710795319474899</v>
      </c>
      <c r="K345" s="35">
        <v>0.34743125808922498</v>
      </c>
      <c r="L345" s="35">
        <v>0.30431865606592901</v>
      </c>
      <c r="M345" s="35">
        <v>0.36696690351039302</v>
      </c>
      <c r="N345" s="35">
        <v>0.31575847222588999</v>
      </c>
      <c r="O345" s="35">
        <v>0.29981774478987799</v>
      </c>
      <c r="P345" s="35">
        <v>0.301701048627803</v>
      </c>
      <c r="Q345" s="35">
        <v>0.32002430069468302</v>
      </c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"/>
      <c r="BF345" s="1"/>
      <c r="BG345" s="1"/>
      <c r="BH345" s="1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</row>
    <row r="346" spans="1:73" x14ac:dyDescent="0.25">
      <c r="A346" s="30">
        <v>43509</v>
      </c>
      <c r="B346" s="32"/>
      <c r="C346" s="32"/>
      <c r="D346" s="31"/>
      <c r="E346" s="44"/>
      <c r="F346" s="31"/>
      <c r="G346" s="31"/>
      <c r="H346" s="31"/>
      <c r="I346" s="33">
        <f>60*1.5</f>
        <v>90</v>
      </c>
      <c r="J346" s="33">
        <f>60*4.5</f>
        <v>270</v>
      </c>
      <c r="K346" s="33">
        <f>60*9.54858818246651</f>
        <v>572.91529094799057</v>
      </c>
      <c r="L346" s="33">
        <f>60*15</f>
        <v>900</v>
      </c>
      <c r="M346" s="33">
        <f>60*22</f>
        <v>1320</v>
      </c>
      <c r="N346" s="33">
        <f>60*28</f>
        <v>1680</v>
      </c>
      <c r="O346" s="33">
        <f>60*35</f>
        <v>2100</v>
      </c>
      <c r="P346" s="33">
        <f>60*46</f>
        <v>2760</v>
      </c>
      <c r="Q346" s="33">
        <f>60*62.8</f>
        <v>3768</v>
      </c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"/>
      <c r="BF346" s="1"/>
      <c r="BG346" s="1"/>
      <c r="BH346" s="1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</row>
    <row r="347" spans="1:73" x14ac:dyDescent="0.25">
      <c r="A347" s="30">
        <v>43509</v>
      </c>
      <c r="B347" s="32" t="s">
        <v>154</v>
      </c>
      <c r="C347" s="32" t="s">
        <v>28</v>
      </c>
      <c r="D347" s="31">
        <v>1997</v>
      </c>
      <c r="E347" s="44">
        <v>3</v>
      </c>
      <c r="F347" s="31" t="s">
        <v>26</v>
      </c>
      <c r="G347" s="31" t="s">
        <v>429</v>
      </c>
      <c r="H347" s="31" t="s">
        <v>12</v>
      </c>
      <c r="I347" s="35">
        <v>0.46089965397923799</v>
      </c>
      <c r="J347" s="35">
        <v>0.28488338307931999</v>
      </c>
      <c r="K347" s="35">
        <v>0.19024802556855699</v>
      </c>
      <c r="L347" s="35">
        <v>0.217602155365963</v>
      </c>
      <c r="M347" s="35">
        <v>0.204363559523495</v>
      </c>
      <c r="N347" s="35">
        <v>0.19922343432209</v>
      </c>
      <c r="O347" s="35">
        <v>0.18870545973216399</v>
      </c>
      <c r="P347" s="35">
        <v>0.20007395863599101</v>
      </c>
      <c r="Q347" s="35">
        <v>0.18181145830581899</v>
      </c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"/>
      <c r="BF347" s="1"/>
      <c r="BG347" s="1"/>
      <c r="BH347" s="1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</row>
    <row r="348" spans="1:73" x14ac:dyDescent="0.25">
      <c r="A348" s="30">
        <v>43509</v>
      </c>
      <c r="B348" s="32"/>
      <c r="C348" s="32"/>
      <c r="D348" s="31"/>
      <c r="E348" s="44"/>
      <c r="F348" s="31"/>
      <c r="G348" s="31"/>
      <c r="H348" s="31"/>
      <c r="I348" s="33">
        <f>60*1.5</f>
        <v>90</v>
      </c>
      <c r="J348" s="33">
        <f>60*4.5</f>
        <v>270</v>
      </c>
      <c r="K348" s="33">
        <f>60*9.54858818246651</f>
        <v>572.91529094799057</v>
      </c>
      <c r="L348" s="33">
        <f>60*15</f>
        <v>900</v>
      </c>
      <c r="M348" s="33">
        <f>60*22</f>
        <v>1320</v>
      </c>
      <c r="N348" s="33">
        <f>60*28</f>
        <v>1680</v>
      </c>
      <c r="O348" s="33">
        <f>60*35</f>
        <v>2100</v>
      </c>
      <c r="P348" s="33">
        <f>60*46</f>
        <v>2760</v>
      </c>
      <c r="Q348" s="33">
        <f>60*62.8</f>
        <v>3768</v>
      </c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"/>
      <c r="BF348" s="1"/>
      <c r="BG348" s="1"/>
      <c r="BH348" s="1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</row>
    <row r="349" spans="1:73" x14ac:dyDescent="0.25">
      <c r="A349" s="30">
        <v>43509</v>
      </c>
      <c r="B349" s="32" t="s">
        <v>154</v>
      </c>
      <c r="C349" s="32" t="s">
        <v>28</v>
      </c>
      <c r="D349" s="31">
        <v>1997</v>
      </c>
      <c r="E349" s="44">
        <v>4</v>
      </c>
      <c r="F349" s="31" t="s">
        <v>47</v>
      </c>
      <c r="G349" s="31" t="s">
        <v>428</v>
      </c>
      <c r="H349" s="31" t="s">
        <v>12</v>
      </c>
      <c r="I349" s="35">
        <v>0.87083267498814898</v>
      </c>
      <c r="J349" s="35">
        <v>0.83554951131977495</v>
      </c>
      <c r="K349" s="35">
        <v>0.80525020878947196</v>
      </c>
      <c r="L349" s="35">
        <v>0.81348102837279601</v>
      </c>
      <c r="M349" s="35">
        <v>0.82585942261246403</v>
      </c>
      <c r="N349" s="35">
        <v>0.81982258537796504</v>
      </c>
      <c r="O349" s="35">
        <v>0.80957384375775898</v>
      </c>
      <c r="P349" s="35">
        <v>0.80589689185833902</v>
      </c>
      <c r="Q349" s="35">
        <v>0.79709049048597103</v>
      </c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"/>
      <c r="BF349" s="1"/>
      <c r="BG349" s="1"/>
      <c r="BH349" s="1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</row>
    <row r="350" spans="1:73" x14ac:dyDescent="0.25">
      <c r="A350" s="30">
        <v>43509</v>
      </c>
      <c r="B350" s="32"/>
      <c r="C350" s="32"/>
      <c r="D350" s="31"/>
      <c r="E350" s="44"/>
      <c r="F350" s="31"/>
      <c r="G350" s="31"/>
      <c r="H350" s="31"/>
      <c r="I350" s="33">
        <f>60*1.5</f>
        <v>90</v>
      </c>
      <c r="J350" s="33">
        <f>60*4.5</f>
        <v>270</v>
      </c>
      <c r="K350" s="33">
        <f>60*9.54858818246651</f>
        <v>572.91529094799057</v>
      </c>
      <c r="L350" s="33">
        <f>60*15</f>
        <v>900</v>
      </c>
      <c r="M350" s="33">
        <f>60*22</f>
        <v>1320</v>
      </c>
      <c r="N350" s="33">
        <f>60*28</f>
        <v>1680</v>
      </c>
      <c r="O350" s="33">
        <f>60*35</f>
        <v>2100</v>
      </c>
      <c r="P350" s="33">
        <f>60*46</f>
        <v>2760</v>
      </c>
      <c r="Q350" s="33">
        <f>60*62.8</f>
        <v>3768</v>
      </c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"/>
      <c r="BF350" s="1"/>
      <c r="BG350" s="1"/>
      <c r="BH350" s="1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</row>
    <row r="351" spans="1:73" x14ac:dyDescent="0.25">
      <c r="A351" s="30">
        <v>43509</v>
      </c>
      <c r="B351" s="32" t="s">
        <v>154</v>
      </c>
      <c r="C351" s="32" t="s">
        <v>28</v>
      </c>
      <c r="D351" s="31">
        <v>1997</v>
      </c>
      <c r="E351" s="44">
        <v>4</v>
      </c>
      <c r="F351" s="31" t="s">
        <v>47</v>
      </c>
      <c r="G351" s="31" t="s">
        <v>429</v>
      </c>
      <c r="H351" s="31" t="s">
        <v>12</v>
      </c>
      <c r="I351" s="35">
        <v>0.72167234724510698</v>
      </c>
      <c r="J351" s="35">
        <v>0.67465747240593099</v>
      </c>
      <c r="K351" s="35">
        <v>0.62508633726835605</v>
      </c>
      <c r="L351" s="35">
        <v>0.62242173216260699</v>
      </c>
      <c r="M351" s="35">
        <v>0.61887682549714396</v>
      </c>
      <c r="N351" s="35">
        <v>0.62289574069476095</v>
      </c>
      <c r="O351" s="35">
        <v>0.62186646502494103</v>
      </c>
      <c r="P351" s="35">
        <v>0.63578877276933798</v>
      </c>
      <c r="Q351" s="35">
        <v>0.62697729273412595</v>
      </c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"/>
      <c r="BF351" s="1"/>
      <c r="BG351" s="1"/>
      <c r="BH351" s="1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</row>
    <row r="352" spans="1:73" x14ac:dyDescent="0.25">
      <c r="A352" s="30">
        <v>43509</v>
      </c>
      <c r="B352" s="32"/>
      <c r="C352" s="32"/>
      <c r="D352" s="31"/>
      <c r="E352" s="44"/>
      <c r="F352" s="31"/>
      <c r="G352" s="31"/>
      <c r="H352" s="31"/>
      <c r="I352" s="33">
        <f>24*60*60</f>
        <v>86400</v>
      </c>
      <c r="J352" s="33">
        <f>4*24*60*60</f>
        <v>345600</v>
      </c>
      <c r="K352" s="33">
        <f>7*24*60*60</f>
        <v>604800</v>
      </c>
      <c r="L352" s="33">
        <f>10*24*60*60</f>
        <v>864000</v>
      </c>
      <c r="M352" s="33">
        <f>13*24*60*60</f>
        <v>1123200</v>
      </c>
      <c r="N352" s="33">
        <f>16*24*60*60</f>
        <v>1382400</v>
      </c>
      <c r="O352" s="33">
        <f>19*24*60*60</f>
        <v>1641600</v>
      </c>
      <c r="P352" s="33">
        <f>22*24*60*60</f>
        <v>1900800</v>
      </c>
      <c r="Q352" s="33">
        <f>25*24*60*60</f>
        <v>2160000</v>
      </c>
      <c r="R352" s="33">
        <f>28*24*60*60</f>
        <v>2419200</v>
      </c>
      <c r="S352" s="33">
        <f>31*24*60*60</f>
        <v>2678400</v>
      </c>
      <c r="T352" s="33">
        <f>34*24*60*60</f>
        <v>2937600</v>
      </c>
      <c r="U352" s="33">
        <f>37*24*60*60</f>
        <v>3196800</v>
      </c>
      <c r="V352" s="33">
        <f>40*24*60*60</f>
        <v>3456000</v>
      </c>
      <c r="W352" s="33">
        <f>43*24*60*60</f>
        <v>3715200</v>
      </c>
      <c r="X352" s="33">
        <f>46*24*60*60</f>
        <v>3974400</v>
      </c>
      <c r="Y352" s="33">
        <f>49*24*60*60</f>
        <v>4233600</v>
      </c>
      <c r="Z352" s="33">
        <f>52*24*60*60</f>
        <v>4492800</v>
      </c>
      <c r="AA352" s="33">
        <f>55*24*60*60</f>
        <v>4752000</v>
      </c>
      <c r="AB352" s="33">
        <f>58*24*60*60</f>
        <v>5011200</v>
      </c>
      <c r="AC352" s="33">
        <f>64.5*24*60*60</f>
        <v>5572800</v>
      </c>
      <c r="AD352" s="33">
        <f>74.5*24*60*60</f>
        <v>6436800</v>
      </c>
      <c r="AE352" s="33">
        <f>84.5*24*60*60</f>
        <v>7300800</v>
      </c>
      <c r="AF352" s="33">
        <f>94.5*24*60*60</f>
        <v>8164800</v>
      </c>
      <c r="AG352" s="33">
        <f>104.5*24*60*60</f>
        <v>9028800</v>
      </c>
      <c r="AH352" s="33">
        <f>114.5*24*60*60</f>
        <v>9892800</v>
      </c>
      <c r="AI352" s="33">
        <f>124.5*24*60*60</f>
        <v>10756800</v>
      </c>
      <c r="AJ352" s="33">
        <f>134.5*24*60*60</f>
        <v>11620800</v>
      </c>
      <c r="AK352" s="33">
        <f>144.5*24*60*60</f>
        <v>12484800</v>
      </c>
      <c r="AL352" s="33">
        <f>154.5*24*60*60</f>
        <v>13348800</v>
      </c>
      <c r="AM352" s="33">
        <f>164.5*24*60*60</f>
        <v>14212800</v>
      </c>
      <c r="AN352" s="33">
        <f>174.5*24*60*60</f>
        <v>15076800</v>
      </c>
      <c r="AO352" s="33">
        <f>184.5*24*60*60</f>
        <v>15940800</v>
      </c>
      <c r="AP352" s="33">
        <f>194.5*24*60*60</f>
        <v>16804800</v>
      </c>
      <c r="AQ352" s="33">
        <f>204.5*24*60*60</f>
        <v>17668800</v>
      </c>
      <c r="AR352" s="33">
        <f>214.5*24*60*60</f>
        <v>18532800</v>
      </c>
      <c r="AS352" s="33">
        <f>224.5*24*60*60</f>
        <v>19396800</v>
      </c>
      <c r="AT352" s="33">
        <f>234.5*24*60*60</f>
        <v>20260800</v>
      </c>
      <c r="AU352" s="33">
        <f>244.5*24*60*60</f>
        <v>21124800</v>
      </c>
      <c r="AV352" s="33">
        <f>254.5*24*60*60</f>
        <v>21988800</v>
      </c>
      <c r="AW352" s="33">
        <f>264.5*24*60*60</f>
        <v>22852800</v>
      </c>
      <c r="AX352" s="33">
        <f>274.5*24*60*60</f>
        <v>23716800</v>
      </c>
      <c r="AY352" s="33">
        <f>284.5*24*60*60</f>
        <v>24580800</v>
      </c>
      <c r="AZ352" s="33">
        <f>294.5*24*60*60</f>
        <v>25444800</v>
      </c>
      <c r="BA352" s="33">
        <f>304.5*24*60*60</f>
        <v>26308800</v>
      </c>
      <c r="BB352" s="33">
        <f>314.5*24*60*60</f>
        <v>27172800</v>
      </c>
      <c r="BC352" s="33">
        <f>324.5*24*60*60</f>
        <v>28036800</v>
      </c>
      <c r="BD352" s="33">
        <f>334.5*24*60*60</f>
        <v>28900800</v>
      </c>
      <c r="BE352" s="33">
        <f>344.5*24*60*60</f>
        <v>29764800</v>
      </c>
      <c r="BF352" s="33">
        <f>354.5*24*60*60</f>
        <v>30628800</v>
      </c>
      <c r="BG352" s="33">
        <f>364.5*24*60*60</f>
        <v>31492800</v>
      </c>
      <c r="BH352" s="33">
        <f>374.5*24*60*60</f>
        <v>32356800</v>
      </c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</row>
    <row r="353" spans="1:73" x14ac:dyDescent="0.25">
      <c r="A353" s="30">
        <v>43509</v>
      </c>
      <c r="B353" s="32" t="s">
        <v>116</v>
      </c>
      <c r="C353" s="32" t="s">
        <v>117</v>
      </c>
      <c r="D353" s="31">
        <v>2005</v>
      </c>
      <c r="E353" s="44">
        <v>1</v>
      </c>
      <c r="F353" s="31" t="s">
        <v>25</v>
      </c>
      <c r="G353" s="31" t="s">
        <v>430</v>
      </c>
      <c r="H353" s="31" t="s">
        <v>397</v>
      </c>
      <c r="I353" s="35">
        <v>0.78902439024390203</v>
      </c>
      <c r="J353" s="35">
        <v>0.76951219512195101</v>
      </c>
      <c r="K353" s="35">
        <v>0.75731707317073105</v>
      </c>
      <c r="L353" s="35">
        <v>0.732926829268292</v>
      </c>
      <c r="M353" s="35">
        <v>0.71341463414634099</v>
      </c>
      <c r="N353" s="35">
        <v>0.70365853658536504</v>
      </c>
      <c r="O353" s="35">
        <v>0.69146341463414596</v>
      </c>
      <c r="P353" s="35">
        <v>0.698780487804878</v>
      </c>
      <c r="Q353" s="35">
        <v>0.70853658536585296</v>
      </c>
      <c r="R353" s="35">
        <v>0.71097560975609697</v>
      </c>
      <c r="S353" s="35">
        <v>0.68170731707317</v>
      </c>
      <c r="T353" s="35">
        <v>0.65731707317073096</v>
      </c>
      <c r="U353" s="35">
        <v>0.66463414634146301</v>
      </c>
      <c r="V353" s="35">
        <v>0.65487804878048705</v>
      </c>
      <c r="W353" s="35">
        <v>0.68414634146341402</v>
      </c>
      <c r="X353" s="35">
        <v>0.66707317073170702</v>
      </c>
      <c r="Y353" s="35">
        <v>0.68414634146341402</v>
      </c>
      <c r="Z353" s="35">
        <v>0.65975609756097497</v>
      </c>
      <c r="AA353" s="35">
        <v>0.63536585365853604</v>
      </c>
      <c r="AB353" s="35">
        <v>0.63536585365853604</v>
      </c>
      <c r="AC353" s="35">
        <v>0.65</v>
      </c>
      <c r="AD353" s="35">
        <v>0.65975609756097497</v>
      </c>
      <c r="AE353" s="35">
        <v>0.66951219512195104</v>
      </c>
      <c r="AF353" s="35">
        <v>0.63780487804878006</v>
      </c>
      <c r="AG353" s="35">
        <v>0.64756097560975601</v>
      </c>
      <c r="AH353" s="35">
        <v>0.59878048780487803</v>
      </c>
      <c r="AI353" s="35">
        <v>0.60609756097560896</v>
      </c>
      <c r="AJ353" s="35">
        <v>0.58902439024390196</v>
      </c>
      <c r="AK353" s="35">
        <v>0.58170731707317003</v>
      </c>
      <c r="AL353" s="35">
        <v>0.60853658536585298</v>
      </c>
      <c r="AM353" s="35">
        <v>0.63048780487804801</v>
      </c>
      <c r="AN353" s="35">
        <v>0.60609756097560896</v>
      </c>
      <c r="AO353" s="35">
        <v>0.59634146341463401</v>
      </c>
      <c r="AP353" s="35">
        <v>0.60853658536585298</v>
      </c>
      <c r="AQ353" s="35">
        <v>0.61341463414634101</v>
      </c>
      <c r="AR353" s="35">
        <v>0.59390243902438999</v>
      </c>
      <c r="AS353" s="35">
        <v>0.57926829268292601</v>
      </c>
      <c r="AT353" s="35">
        <v>0.57926829268292601</v>
      </c>
      <c r="AU353" s="35">
        <v>0.56951219512195095</v>
      </c>
      <c r="AV353" s="35">
        <v>0.59146341463414598</v>
      </c>
      <c r="AW353" s="35">
        <v>0.59878048780487803</v>
      </c>
      <c r="AX353" s="35">
        <v>0.59878048780487803</v>
      </c>
      <c r="AY353" s="35">
        <v>0.54999999999999905</v>
      </c>
      <c r="AZ353" s="35">
        <v>0.56951219512195095</v>
      </c>
      <c r="BA353" s="35">
        <v>0.58658536585365795</v>
      </c>
      <c r="BB353" s="35">
        <v>0.559756097560975</v>
      </c>
      <c r="BC353" s="35">
        <v>0.56707317073170704</v>
      </c>
      <c r="BD353" s="35">
        <v>0.56707317073170704</v>
      </c>
      <c r="BE353" s="67">
        <v>0.55243902439024395</v>
      </c>
      <c r="BF353" s="67">
        <v>0.55487804878048697</v>
      </c>
      <c r="BG353" s="67">
        <v>0.559756097560975</v>
      </c>
      <c r="BH353" s="67">
        <v>0.56707317073170704</v>
      </c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</row>
    <row r="354" spans="1:73" x14ac:dyDescent="0.25">
      <c r="A354" s="30">
        <v>43509</v>
      </c>
      <c r="B354" s="32"/>
      <c r="C354" s="32"/>
      <c r="D354" s="31"/>
      <c r="E354" s="44"/>
      <c r="F354" s="31"/>
      <c r="G354" s="31"/>
      <c r="H354" s="31"/>
      <c r="I354" s="33">
        <f>24*60*60</f>
        <v>86400</v>
      </c>
      <c r="J354" s="33">
        <f>4*24*60*60</f>
        <v>345600</v>
      </c>
      <c r="K354" s="33">
        <f>7*24*60*60</f>
        <v>604800</v>
      </c>
      <c r="L354" s="33">
        <f>10*24*60*60</f>
        <v>864000</v>
      </c>
      <c r="M354" s="33">
        <f>13*24*60*60</f>
        <v>1123200</v>
      </c>
      <c r="N354" s="33">
        <f>16*24*60*60</f>
        <v>1382400</v>
      </c>
      <c r="O354" s="33">
        <f>19*24*60*60</f>
        <v>1641600</v>
      </c>
      <c r="P354" s="33">
        <f>22*24*60*60</f>
        <v>1900800</v>
      </c>
      <c r="Q354" s="33">
        <f>25*24*60*60</f>
        <v>2160000</v>
      </c>
      <c r="R354" s="33">
        <f>28*24*60*60</f>
        <v>2419200</v>
      </c>
      <c r="S354" s="33">
        <f>31*24*60*60</f>
        <v>2678400</v>
      </c>
      <c r="T354" s="33">
        <f>34*24*60*60</f>
        <v>2937600</v>
      </c>
      <c r="U354" s="33">
        <f>37*24*60*60</f>
        <v>3196800</v>
      </c>
      <c r="V354" s="33">
        <f>40*24*60*60</f>
        <v>3456000</v>
      </c>
      <c r="W354" s="33">
        <f>43*24*60*60</f>
        <v>3715200</v>
      </c>
      <c r="X354" s="33">
        <f>46*24*60*60</f>
        <v>3974400</v>
      </c>
      <c r="Y354" s="33">
        <f>49*24*60*60</f>
        <v>4233600</v>
      </c>
      <c r="Z354" s="33">
        <f>52*24*60*60</f>
        <v>4492800</v>
      </c>
      <c r="AA354" s="33">
        <f>55*24*60*60</f>
        <v>4752000</v>
      </c>
      <c r="AB354" s="33">
        <f>58*24*60*60</f>
        <v>5011200</v>
      </c>
      <c r="AC354" s="33">
        <f>64.5*24*60*60</f>
        <v>5572800</v>
      </c>
      <c r="AD354" s="33">
        <f>74.5*24*60*60</f>
        <v>6436800</v>
      </c>
      <c r="AE354" s="33">
        <f>84.5*24*60*60</f>
        <v>7300800</v>
      </c>
      <c r="AF354" s="33">
        <f>94.5*24*60*60</f>
        <v>8164800</v>
      </c>
      <c r="AG354" s="33">
        <f>104.5*24*60*60</f>
        <v>9028800</v>
      </c>
      <c r="AH354" s="33">
        <f>114.5*24*60*60</f>
        <v>9892800</v>
      </c>
      <c r="AI354" s="33">
        <f>124.5*24*60*60</f>
        <v>10756800</v>
      </c>
      <c r="AJ354" s="33">
        <f>134.5*24*60*60</f>
        <v>11620800</v>
      </c>
      <c r="AK354" s="33">
        <f>144.5*24*60*60</f>
        <v>12484800</v>
      </c>
      <c r="AL354" s="33">
        <f>154.5*24*60*60</f>
        <v>13348800</v>
      </c>
      <c r="AM354" s="33">
        <f>164.5*24*60*60</f>
        <v>14212800</v>
      </c>
      <c r="AN354" s="33">
        <f>174.5*24*60*60</f>
        <v>15076800</v>
      </c>
      <c r="AO354" s="33">
        <f>184.5*24*60*60</f>
        <v>15940800</v>
      </c>
      <c r="AP354" s="33">
        <f>194.5*24*60*60</f>
        <v>16804800</v>
      </c>
      <c r="AQ354" s="33">
        <f>204.5*24*60*60</f>
        <v>17668800</v>
      </c>
      <c r="AR354" s="33">
        <f>214.5*24*60*60</f>
        <v>18532800</v>
      </c>
      <c r="AS354" s="33">
        <f>224.5*24*60*60</f>
        <v>19396800</v>
      </c>
      <c r="AT354" s="33">
        <f>234.5*24*60*60</f>
        <v>20260800</v>
      </c>
      <c r="AU354" s="33">
        <f>244.5*24*60*60</f>
        <v>21124800</v>
      </c>
      <c r="AV354" s="33">
        <f>254.5*24*60*60</f>
        <v>21988800</v>
      </c>
      <c r="AW354" s="33">
        <f>264.5*24*60*60</f>
        <v>22852800</v>
      </c>
      <c r="AX354" s="33">
        <f>274.5*24*60*60</f>
        <v>23716800</v>
      </c>
      <c r="AY354" s="33">
        <f>284.5*24*60*60</f>
        <v>24580800</v>
      </c>
      <c r="AZ354" s="33">
        <f>294.5*24*60*60</f>
        <v>25444800</v>
      </c>
      <c r="BA354" s="33">
        <f>304.5*24*60*60</f>
        <v>26308800</v>
      </c>
      <c r="BB354" s="33">
        <f>314.5*24*60*60</f>
        <v>27172800</v>
      </c>
      <c r="BC354" s="33">
        <f>324.5*24*60*60</f>
        <v>28036800</v>
      </c>
      <c r="BD354" s="33">
        <f>334.5*24*60*60</f>
        <v>28900800</v>
      </c>
      <c r="BE354" s="33">
        <f>344.5*24*60*60</f>
        <v>29764800</v>
      </c>
      <c r="BF354" s="33">
        <f>354.5*24*60*60</f>
        <v>30628800</v>
      </c>
      <c r="BG354" s="33">
        <f>364.5*24*60*60</f>
        <v>31492800</v>
      </c>
      <c r="BH354" s="33">
        <f>374.5*24*60*60</f>
        <v>32356800</v>
      </c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</row>
    <row r="355" spans="1:73" x14ac:dyDescent="0.25">
      <c r="A355" s="30">
        <v>43509</v>
      </c>
      <c r="B355" s="32" t="s">
        <v>116</v>
      </c>
      <c r="C355" s="32" t="s">
        <v>117</v>
      </c>
      <c r="D355" s="31">
        <v>2005</v>
      </c>
      <c r="E355" s="44">
        <v>1</v>
      </c>
      <c r="F355" s="31" t="s">
        <v>25</v>
      </c>
      <c r="G355" s="31" t="s">
        <v>431</v>
      </c>
      <c r="H355" s="31" t="s">
        <v>397</v>
      </c>
      <c r="I355" s="35">
        <v>0.62560975609756098</v>
      </c>
      <c r="J355" s="35">
        <v>0.63536585365853604</v>
      </c>
      <c r="K355" s="35">
        <v>0.59146341463414598</v>
      </c>
      <c r="L355" s="35">
        <v>0.57804878048780495</v>
      </c>
      <c r="M355" s="35">
        <v>0.51219512195121897</v>
      </c>
      <c r="N355" s="35">
        <v>0.49878048780487799</v>
      </c>
      <c r="O355" s="35">
        <v>0.49390243902439002</v>
      </c>
      <c r="P355" s="35">
        <v>0.51097560975609702</v>
      </c>
      <c r="Q355" s="35">
        <v>0.48170731707316999</v>
      </c>
      <c r="R355" s="35">
        <v>0.50365853658536497</v>
      </c>
      <c r="S355" s="35">
        <v>0.48902439024390199</v>
      </c>
      <c r="T355" s="35">
        <v>0.46707317073170701</v>
      </c>
      <c r="U355" s="35">
        <v>0.45243902439024303</v>
      </c>
      <c r="V355" s="35">
        <v>0.45243902439024303</v>
      </c>
      <c r="W355" s="35">
        <v>0.49634146341463398</v>
      </c>
      <c r="X355" s="35">
        <v>0.48658536585365803</v>
      </c>
      <c r="Y355" s="35">
        <v>0.46707317073170701</v>
      </c>
      <c r="Z355" s="35">
        <v>0.48414634146341401</v>
      </c>
      <c r="AA355" s="35">
        <v>0.41829268292682897</v>
      </c>
      <c r="AB355" s="35">
        <v>0.413414634146341</v>
      </c>
      <c r="AC355" s="35">
        <v>0.42073170731707299</v>
      </c>
      <c r="AD355" s="35">
        <v>0.440243902439024</v>
      </c>
      <c r="AE355" s="35">
        <v>0.48902439024390199</v>
      </c>
      <c r="AF355" s="35">
        <v>0.413414634146341</v>
      </c>
      <c r="AG355" s="35">
        <v>0.40609756097560901</v>
      </c>
      <c r="AH355" s="35">
        <v>0.39146341463414602</v>
      </c>
      <c r="AI355" s="35">
        <v>0.34024390243902403</v>
      </c>
      <c r="AJ355" s="35">
        <v>0.36707317073170698</v>
      </c>
      <c r="AK355" s="35">
        <v>0.37317073170731702</v>
      </c>
      <c r="AL355" s="35">
        <v>0.35487804878048701</v>
      </c>
      <c r="AM355" s="35">
        <v>0.35975609756097499</v>
      </c>
      <c r="AN355" s="35">
        <v>0.319512195121951</v>
      </c>
      <c r="AO355" s="35">
        <v>0.345121951219512</v>
      </c>
      <c r="AP355" s="35">
        <v>0.29024390243902398</v>
      </c>
      <c r="AQ355" s="35">
        <v>0.35731707317073103</v>
      </c>
      <c r="AR355" s="35">
        <v>0.326829268292682</v>
      </c>
      <c r="AS355" s="35">
        <v>0.31707317073170699</v>
      </c>
      <c r="AT355" s="35">
        <v>0.32317073170731703</v>
      </c>
      <c r="AU355" s="35">
        <v>0.34146341463414598</v>
      </c>
      <c r="AV355" s="35">
        <v>0.32560975609755999</v>
      </c>
      <c r="AW355" s="35">
        <v>0.34878048780487703</v>
      </c>
      <c r="AX355" s="35">
        <v>0.30487804878048702</v>
      </c>
      <c r="AY355" s="35">
        <v>0.32317073170731703</v>
      </c>
      <c r="AZ355" s="35">
        <v>0.32317073170731703</v>
      </c>
      <c r="BA355" s="35">
        <v>0.30365853658536501</v>
      </c>
      <c r="BB355" s="35">
        <v>0.29878048780487798</v>
      </c>
      <c r="BC355" s="35">
        <v>0.32926829268292601</v>
      </c>
      <c r="BD355" s="35">
        <v>0.31219512195121901</v>
      </c>
      <c r="BE355" s="67">
        <v>0.27926829268292602</v>
      </c>
      <c r="BF355" s="67">
        <v>0.29024390243902398</v>
      </c>
      <c r="BG355" s="67">
        <v>0.326829268292682</v>
      </c>
      <c r="BH355" s="67">
        <v>0.31585365853658498</v>
      </c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</row>
    <row r="356" spans="1:73" x14ac:dyDescent="0.25">
      <c r="A356" s="27">
        <v>43896</v>
      </c>
      <c r="B356" s="1"/>
      <c r="C356" s="1"/>
      <c r="D356" s="23"/>
      <c r="E356" s="38"/>
      <c r="F356" s="23"/>
      <c r="G356" s="23"/>
      <c r="H356" s="23"/>
      <c r="I356" s="12">
        <v>157680000</v>
      </c>
      <c r="J356" s="12">
        <v>473040000</v>
      </c>
      <c r="K356" s="12">
        <v>788400000</v>
      </c>
      <c r="L356" s="12">
        <v>1103760000</v>
      </c>
      <c r="M356" s="12">
        <v>1419120000</v>
      </c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6"/>
      <c r="BF356" s="6"/>
      <c r="BG356" s="6"/>
      <c r="BH356" s="6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</row>
    <row r="357" spans="1:73" x14ac:dyDescent="0.25">
      <c r="A357" s="27">
        <v>43896</v>
      </c>
      <c r="B357" s="1" t="s">
        <v>224</v>
      </c>
      <c r="C357" s="1" t="s">
        <v>36</v>
      </c>
      <c r="D357" s="23">
        <v>1980</v>
      </c>
      <c r="E357" s="38">
        <v>1</v>
      </c>
      <c r="F357" s="23" t="s">
        <v>32</v>
      </c>
      <c r="G357" s="23" t="s">
        <v>197</v>
      </c>
      <c r="H357" s="22" t="s">
        <v>213</v>
      </c>
      <c r="I357" s="18">
        <v>0.63157894736842102</v>
      </c>
      <c r="J357" s="18">
        <v>0.6</v>
      </c>
      <c r="K357" s="18">
        <v>0.3783783783783784</v>
      </c>
      <c r="L357" s="18">
        <v>0.49056603773584906</v>
      </c>
      <c r="M357" s="18">
        <v>0.30232558139534887</v>
      </c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6"/>
      <c r="BF357" s="6"/>
      <c r="BG357" s="6"/>
      <c r="BH357" s="6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</row>
    <row r="358" spans="1:73" x14ac:dyDescent="0.25">
      <c r="A358" s="27">
        <v>43896</v>
      </c>
      <c r="B358" s="1"/>
      <c r="C358" s="1"/>
      <c r="D358" s="23"/>
      <c r="E358" s="38"/>
      <c r="F358" s="23"/>
      <c r="G358" s="23"/>
      <c r="H358" s="23"/>
      <c r="I358" s="12">
        <v>157680000</v>
      </c>
      <c r="J358" s="12">
        <v>473040000</v>
      </c>
      <c r="K358" s="12">
        <v>788400000</v>
      </c>
      <c r="L358" s="12">
        <v>1103760000</v>
      </c>
      <c r="M358" s="12">
        <v>1419120000</v>
      </c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6"/>
      <c r="BF358" s="6"/>
      <c r="BG358" s="6"/>
      <c r="BH358" s="6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</row>
    <row r="359" spans="1:73" x14ac:dyDescent="0.25">
      <c r="A359" s="27">
        <v>43896</v>
      </c>
      <c r="B359" s="1" t="s">
        <v>224</v>
      </c>
      <c r="C359" s="1" t="s">
        <v>36</v>
      </c>
      <c r="D359" s="23">
        <v>1980</v>
      </c>
      <c r="E359" s="38">
        <v>1</v>
      </c>
      <c r="F359" s="23" t="s">
        <v>32</v>
      </c>
      <c r="G359" s="23" t="s">
        <v>197</v>
      </c>
      <c r="H359" s="22" t="s">
        <v>213</v>
      </c>
      <c r="I359" s="18">
        <v>0.90624999999999989</v>
      </c>
      <c r="J359" s="18">
        <v>0.87500000000000011</v>
      </c>
      <c r="K359" s="18">
        <v>0.7846153846153846</v>
      </c>
      <c r="L359" s="18">
        <v>0.87804878048780488</v>
      </c>
      <c r="M359" s="18">
        <v>0.48936170212765961</v>
      </c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6"/>
      <c r="BF359" s="6"/>
      <c r="BG359" s="6"/>
      <c r="BH359" s="6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</row>
    <row r="360" spans="1:73" x14ac:dyDescent="0.25">
      <c r="A360" s="30">
        <v>43902</v>
      </c>
      <c r="B360" s="32"/>
      <c r="C360" s="32"/>
      <c r="D360" s="31"/>
      <c r="E360" s="44"/>
      <c r="F360" s="31"/>
      <c r="G360" s="31"/>
      <c r="H360" s="31"/>
      <c r="I360" s="33">
        <v>157680000</v>
      </c>
      <c r="J360" s="33">
        <v>473040000</v>
      </c>
      <c r="K360" s="33">
        <v>788400000</v>
      </c>
      <c r="L360" s="33">
        <v>1103760000</v>
      </c>
      <c r="M360" s="33">
        <v>1419120000</v>
      </c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6"/>
      <c r="BF360" s="6"/>
      <c r="BG360" s="6"/>
      <c r="BH360" s="6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</row>
    <row r="361" spans="1:73" x14ac:dyDescent="0.25">
      <c r="A361" s="30">
        <v>43902</v>
      </c>
      <c r="B361" s="32" t="s">
        <v>281</v>
      </c>
      <c r="C361" s="32" t="s">
        <v>81</v>
      </c>
      <c r="D361" s="31">
        <v>1989</v>
      </c>
      <c r="E361" s="44">
        <v>1</v>
      </c>
      <c r="F361" s="31" t="s">
        <v>32</v>
      </c>
      <c r="G361" s="31" t="s">
        <v>197</v>
      </c>
      <c r="H361" s="31" t="s">
        <v>208</v>
      </c>
      <c r="I361" s="35">
        <v>0.81132075471698106</v>
      </c>
      <c r="J361" s="35">
        <v>0.76086956521739124</v>
      </c>
      <c r="K361" s="35">
        <v>0.76785714285714279</v>
      </c>
      <c r="L361" s="35">
        <v>0.73770491803278693</v>
      </c>
      <c r="M361" s="35">
        <v>0.66666666666666663</v>
      </c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6"/>
      <c r="BF361" s="6"/>
      <c r="BG361" s="6"/>
      <c r="BH361" s="6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</row>
    <row r="362" spans="1:73" x14ac:dyDescent="0.25">
      <c r="A362" s="30">
        <v>43979</v>
      </c>
      <c r="B362" s="32"/>
      <c r="C362" s="32"/>
      <c r="D362" s="31"/>
      <c r="E362" s="44"/>
      <c r="F362" s="31"/>
      <c r="G362" s="31"/>
      <c r="H362" s="31"/>
      <c r="I362" s="33">
        <v>2</v>
      </c>
      <c r="J362" s="33">
        <v>40</v>
      </c>
      <c r="K362" s="33">
        <f>60*30</f>
        <v>1800</v>
      </c>
      <c r="L362" s="33">
        <f>60*60*24</f>
        <v>86400</v>
      </c>
      <c r="M362" s="33">
        <f>60*60*24*7</f>
        <v>604800</v>
      </c>
      <c r="N362" s="33">
        <f>60*60*24*7*3</f>
        <v>1814400</v>
      </c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6"/>
      <c r="BF362" s="6"/>
      <c r="BG362" s="6"/>
      <c r="BH362" s="6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</row>
    <row r="363" spans="1:73" x14ac:dyDescent="0.25">
      <c r="A363" s="30">
        <v>43979</v>
      </c>
      <c r="B363" s="32" t="s">
        <v>512</v>
      </c>
      <c r="C363" s="32" t="s">
        <v>36</v>
      </c>
      <c r="D363" s="31">
        <v>2010</v>
      </c>
      <c r="E363" s="44">
        <v>1</v>
      </c>
      <c r="F363" s="31" t="s">
        <v>26</v>
      </c>
      <c r="G363" s="31" t="s">
        <v>197</v>
      </c>
      <c r="H363" s="31" t="s">
        <v>12</v>
      </c>
      <c r="I363" s="35">
        <v>0.84312749003984</v>
      </c>
      <c r="J363" s="35">
        <v>0.75722111553784799</v>
      </c>
      <c r="K363" s="35">
        <v>0.74003984063744999</v>
      </c>
      <c r="L363" s="35">
        <v>0.64890438247011906</v>
      </c>
      <c r="M363" s="35">
        <v>0.62649402390438202</v>
      </c>
      <c r="N363" s="35">
        <v>0.60333665338645404</v>
      </c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6"/>
      <c r="BF363" s="6"/>
      <c r="BG363" s="6"/>
      <c r="BH363" s="6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</row>
    <row r="364" spans="1:73" x14ac:dyDescent="0.25">
      <c r="A364" s="30">
        <v>43509</v>
      </c>
      <c r="B364" s="48"/>
      <c r="C364" s="48"/>
      <c r="D364" s="46"/>
      <c r="E364" s="56"/>
      <c r="F364" s="46"/>
      <c r="G364" s="46"/>
      <c r="H364" s="46"/>
      <c r="I364" s="64">
        <v>30</v>
      </c>
      <c r="J364" s="50">
        <f>20*60</f>
        <v>1200</v>
      </c>
      <c r="K364" s="50">
        <f>3600</f>
        <v>3600</v>
      </c>
      <c r="L364" s="50">
        <f>9*3600</f>
        <v>32400</v>
      </c>
      <c r="M364" s="50">
        <f>1*24*3600</f>
        <v>86400</v>
      </c>
      <c r="N364" s="50">
        <f>2*24*3600</f>
        <v>172800</v>
      </c>
      <c r="O364" s="50">
        <f>6*24*3600</f>
        <v>518400</v>
      </c>
      <c r="P364" s="50">
        <f>31*24*3600</f>
        <v>2678400</v>
      </c>
      <c r="Q364" s="2" t="s">
        <v>489</v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5"/>
      <c r="BF364" s="5"/>
      <c r="BG364" s="5"/>
      <c r="BH364" s="5"/>
    </row>
    <row r="365" spans="1:73" x14ac:dyDescent="0.25">
      <c r="A365" s="30">
        <v>43509</v>
      </c>
      <c r="B365" s="48" t="s">
        <v>172</v>
      </c>
      <c r="C365" s="48" t="s">
        <v>173</v>
      </c>
      <c r="D365" s="46">
        <v>2015</v>
      </c>
      <c r="E365" s="56">
        <v>1</v>
      </c>
      <c r="F365" s="58" t="s">
        <v>20</v>
      </c>
      <c r="G365" s="46" t="s">
        <v>486</v>
      </c>
      <c r="H365" s="46" t="s">
        <v>174</v>
      </c>
      <c r="I365" s="49">
        <v>1</v>
      </c>
      <c r="J365" s="49">
        <v>0.54400000000000004</v>
      </c>
      <c r="K365" s="49">
        <v>0.432</v>
      </c>
      <c r="L365" s="49">
        <v>0.28499999999999998</v>
      </c>
      <c r="M365" s="49">
        <v>0.316</v>
      </c>
      <c r="N365" s="49">
        <v>0.36499999999999999</v>
      </c>
      <c r="O365" s="49">
        <v>0.309</v>
      </c>
      <c r="P365" s="49">
        <v>0.25800000000000001</v>
      </c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5"/>
      <c r="BF365" s="5"/>
      <c r="BG365" s="5"/>
      <c r="BH365" s="5"/>
    </row>
    <row r="366" spans="1:73" x14ac:dyDescent="0.25">
      <c r="A366" s="30">
        <v>43509</v>
      </c>
      <c r="B366" s="48"/>
      <c r="C366" s="48"/>
      <c r="D366" s="46"/>
      <c r="E366" s="56"/>
      <c r="F366" s="46"/>
      <c r="G366" s="46"/>
      <c r="H366" s="46"/>
      <c r="I366" s="64">
        <v>30</v>
      </c>
      <c r="J366" s="50">
        <f>20*60</f>
        <v>1200</v>
      </c>
      <c r="K366" s="50">
        <f>3600</f>
        <v>3600</v>
      </c>
      <c r="L366" s="50">
        <f>9*3600</f>
        <v>32400</v>
      </c>
      <c r="M366" s="50">
        <f>1*24*3600</f>
        <v>86400</v>
      </c>
      <c r="N366" s="50">
        <f>2*24*3600</f>
        <v>172800</v>
      </c>
      <c r="O366" s="50">
        <f>6*24*3600</f>
        <v>518400</v>
      </c>
      <c r="P366" s="50">
        <f>31*24*3600</f>
        <v>2678400</v>
      </c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5"/>
      <c r="BF366" s="5"/>
      <c r="BG366" s="5"/>
      <c r="BH366" s="5"/>
    </row>
    <row r="367" spans="1:73" x14ac:dyDescent="0.25">
      <c r="A367" s="30">
        <v>43509</v>
      </c>
      <c r="B367" s="48" t="s">
        <v>172</v>
      </c>
      <c r="C367" s="48" t="s">
        <v>173</v>
      </c>
      <c r="D367" s="46">
        <v>2015</v>
      </c>
      <c r="E367" s="56">
        <v>1</v>
      </c>
      <c r="F367" s="58" t="s">
        <v>20</v>
      </c>
      <c r="G367" s="46" t="s">
        <v>487</v>
      </c>
      <c r="H367" s="46" t="s">
        <v>174</v>
      </c>
      <c r="I367" s="49">
        <v>1</v>
      </c>
      <c r="J367" s="49">
        <v>0.442</v>
      </c>
      <c r="K367" s="49">
        <v>0.32500000000000001</v>
      </c>
      <c r="L367" s="49">
        <v>0.27</v>
      </c>
      <c r="M367" s="49">
        <v>0.27</v>
      </c>
      <c r="N367" s="49">
        <v>0.26600000000000001</v>
      </c>
      <c r="O367" s="49">
        <v>0.20499999999999999</v>
      </c>
      <c r="P367" s="49">
        <v>0.20100000000000001</v>
      </c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5"/>
      <c r="BF367" s="5"/>
      <c r="BG367" s="5"/>
      <c r="BH367" s="5"/>
    </row>
    <row r="368" spans="1:73" x14ac:dyDescent="0.25">
      <c r="A368" s="30">
        <v>43509</v>
      </c>
      <c r="B368" s="48"/>
      <c r="C368" s="48"/>
      <c r="D368" s="46"/>
      <c r="E368" s="56"/>
      <c r="F368" s="46"/>
      <c r="G368" s="46"/>
      <c r="H368" s="46"/>
      <c r="I368" s="64">
        <v>30</v>
      </c>
      <c r="J368" s="50">
        <f>20*60</f>
        <v>1200</v>
      </c>
      <c r="K368" s="50">
        <f>3600</f>
        <v>3600</v>
      </c>
      <c r="L368" s="50">
        <f>9*3600</f>
        <v>32400</v>
      </c>
      <c r="M368" s="50">
        <f>1*24*3600</f>
        <v>86400</v>
      </c>
      <c r="N368" s="50">
        <f>2*24*3600</f>
        <v>172800</v>
      </c>
      <c r="O368" s="50">
        <f>6*24*3600</f>
        <v>518400</v>
      </c>
      <c r="P368" s="50">
        <f>31*24*3600</f>
        <v>2678400</v>
      </c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5"/>
      <c r="BF368" s="5"/>
      <c r="BG368" s="5"/>
      <c r="BH368" s="5"/>
    </row>
    <row r="369" spans="1:73" x14ac:dyDescent="0.25">
      <c r="A369" s="30">
        <v>43509</v>
      </c>
      <c r="B369" s="48" t="s">
        <v>172</v>
      </c>
      <c r="C369" s="48" t="s">
        <v>173</v>
      </c>
      <c r="D369" s="46">
        <v>2015</v>
      </c>
      <c r="E369" s="56">
        <v>1</v>
      </c>
      <c r="F369" s="58" t="s">
        <v>20</v>
      </c>
      <c r="G369" s="46" t="s">
        <v>488</v>
      </c>
      <c r="H369" s="46" t="s">
        <v>174</v>
      </c>
      <c r="I369" s="59">
        <v>1</v>
      </c>
      <c r="J369" s="49">
        <v>0.47199999999999998</v>
      </c>
      <c r="K369" s="49">
        <v>0.373</v>
      </c>
      <c r="L369" s="49">
        <v>0.27600000000000002</v>
      </c>
      <c r="M369" s="49">
        <v>0.317</v>
      </c>
      <c r="N369" s="49">
        <v>0.23</v>
      </c>
      <c r="O369" s="49">
        <v>0.16800000000000001</v>
      </c>
      <c r="P369" s="49">
        <v>4.1000000000000002E-2</v>
      </c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5"/>
      <c r="BF369" s="5"/>
      <c r="BG369" s="5"/>
      <c r="BH369" s="5"/>
    </row>
    <row r="370" spans="1:73" x14ac:dyDescent="0.25">
      <c r="A370" s="27">
        <v>43509</v>
      </c>
      <c r="B370" s="1"/>
      <c r="C370" s="1"/>
      <c r="D370" s="23"/>
      <c r="E370" s="38"/>
      <c r="F370" s="23"/>
      <c r="G370" s="23"/>
      <c r="H370" s="23"/>
      <c r="I370" s="12">
        <f>7*24*3600*1</f>
        <v>604800</v>
      </c>
      <c r="J370" s="12">
        <f>7*24*3600*3</f>
        <v>1814400</v>
      </c>
      <c r="K370" s="12">
        <f>7*24*3600*4</f>
        <v>2419200</v>
      </c>
      <c r="L370" s="12">
        <f>7*24*3600*5</f>
        <v>3024000</v>
      </c>
      <c r="M370" s="12">
        <f>7*24*3600*7</f>
        <v>4233600</v>
      </c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"/>
      <c r="BF370" s="1"/>
      <c r="BG370" s="1"/>
      <c r="BH370" s="1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</row>
    <row r="371" spans="1:73" x14ac:dyDescent="0.25">
      <c r="A371" s="27">
        <v>43509</v>
      </c>
      <c r="B371" s="1" t="s">
        <v>156</v>
      </c>
      <c r="C371" s="1" t="s">
        <v>93</v>
      </c>
      <c r="D371" s="23">
        <v>1980</v>
      </c>
      <c r="E371" s="38">
        <v>1</v>
      </c>
      <c r="F371" s="23" t="s">
        <v>32</v>
      </c>
      <c r="G371" s="23" t="s">
        <v>491</v>
      </c>
      <c r="H371" s="23" t="s">
        <v>61</v>
      </c>
      <c r="I371" s="18">
        <v>0.411373036524952</v>
      </c>
      <c r="J371" s="18">
        <v>0.27969281095098197</v>
      </c>
      <c r="K371" s="18">
        <v>0.17934977047160799</v>
      </c>
      <c r="L371" s="18">
        <v>0.14270371812822</v>
      </c>
      <c r="M371" s="18">
        <v>0.14219375470475198</v>
      </c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"/>
      <c r="BF371" s="1"/>
      <c r="BG371" s="1"/>
      <c r="BH371" s="1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</row>
    <row r="372" spans="1:73" x14ac:dyDescent="0.25">
      <c r="A372" s="27">
        <v>43979</v>
      </c>
      <c r="B372" s="1"/>
      <c r="C372" s="1"/>
      <c r="D372" s="23"/>
      <c r="E372" s="38"/>
      <c r="F372" s="23"/>
      <c r="G372" s="23"/>
      <c r="H372" s="23"/>
      <c r="I372" s="12">
        <f>60*60*24*265*8</f>
        <v>183168000</v>
      </c>
      <c r="J372" s="12">
        <f>60*60*24*265*13</f>
        <v>297648000</v>
      </c>
      <c r="K372" s="12">
        <f>60*60*24*265*18</f>
        <v>412128000</v>
      </c>
      <c r="L372" s="12">
        <f>60*60*24*265*23</f>
        <v>526608000</v>
      </c>
      <c r="M372" s="12">
        <f>60*60*24*265*28</f>
        <v>641088000</v>
      </c>
      <c r="N372" s="12">
        <f>60*60*24*265*33</f>
        <v>755568000</v>
      </c>
      <c r="O372" s="12">
        <f>60*60*24*265*38</f>
        <v>870048000</v>
      </c>
      <c r="P372" s="12">
        <f>60*60*24*265*43</f>
        <v>984528000</v>
      </c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"/>
      <c r="BF372" s="1"/>
      <c r="BG372" s="1"/>
      <c r="BH372" s="1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</row>
    <row r="373" spans="1:73" x14ac:dyDescent="0.25">
      <c r="A373" s="27">
        <v>43979</v>
      </c>
      <c r="B373" s="1" t="s">
        <v>513</v>
      </c>
      <c r="C373" s="1" t="s">
        <v>246</v>
      </c>
      <c r="D373" s="23">
        <v>1997</v>
      </c>
      <c r="E373" s="38">
        <v>1</v>
      </c>
      <c r="F373" s="23" t="s">
        <v>25</v>
      </c>
      <c r="G373" s="23" t="s">
        <v>197</v>
      </c>
      <c r="H373" s="23" t="s">
        <v>241</v>
      </c>
      <c r="I373" s="18">
        <v>0.71297933899288912</v>
      </c>
      <c r="J373" s="18">
        <v>0.76308167658298298</v>
      </c>
      <c r="K373" s="18">
        <v>0.70613768562859802</v>
      </c>
      <c r="L373" s="18">
        <v>0.48122022081942606</v>
      </c>
      <c r="M373" s="18">
        <v>0.43124108136216299</v>
      </c>
      <c r="N373" s="18">
        <v>0.35863241002757201</v>
      </c>
      <c r="O373" s="18">
        <v>0.21378692920717801</v>
      </c>
      <c r="P373" s="18">
        <v>0.10114113215304901</v>
      </c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"/>
      <c r="BF373" s="1"/>
      <c r="BG373" s="1"/>
      <c r="BH373" s="1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</row>
    <row r="374" spans="1:73" x14ac:dyDescent="0.25">
      <c r="A374" s="27">
        <v>43979</v>
      </c>
      <c r="B374" s="1"/>
      <c r="C374" s="1"/>
      <c r="D374" s="23"/>
      <c r="E374" s="38"/>
      <c r="F374" s="23"/>
      <c r="G374" s="23"/>
      <c r="H374" s="23"/>
      <c r="I374" s="12">
        <f>60*60*2</f>
        <v>7200</v>
      </c>
      <c r="J374" s="12">
        <f>60*60*18</f>
        <v>64800</v>
      </c>
      <c r="K374" s="12">
        <f>60*60*20</f>
        <v>72000</v>
      </c>
      <c r="L374" s="12">
        <f>60*60*24*3</f>
        <v>259200</v>
      </c>
      <c r="M374" s="12">
        <f>60*60*24*4</f>
        <v>345600</v>
      </c>
      <c r="N374" s="12">
        <f>60*60*24*7</f>
        <v>604800</v>
      </c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"/>
      <c r="BF374" s="1"/>
      <c r="BG374" s="1"/>
      <c r="BH374" s="1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</row>
    <row r="375" spans="1:73" x14ac:dyDescent="0.25">
      <c r="A375" s="27">
        <v>43979</v>
      </c>
      <c r="B375" s="1" t="s">
        <v>513</v>
      </c>
      <c r="C375" s="1" t="s">
        <v>246</v>
      </c>
      <c r="D375" s="23">
        <v>1997</v>
      </c>
      <c r="E375" s="38">
        <v>1</v>
      </c>
      <c r="F375" s="23" t="s">
        <v>26</v>
      </c>
      <c r="G375" s="23" t="s">
        <v>197</v>
      </c>
      <c r="H375" s="23" t="s">
        <v>12</v>
      </c>
      <c r="I375" s="18">
        <v>1</v>
      </c>
      <c r="J375" s="18">
        <v>1</v>
      </c>
      <c r="K375" s="18">
        <v>1</v>
      </c>
      <c r="L375" s="18">
        <v>1</v>
      </c>
      <c r="M375" s="18">
        <v>0.9</v>
      </c>
      <c r="N375" s="18">
        <v>0.8</v>
      </c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"/>
      <c r="BF375" s="1"/>
      <c r="BG375" s="1"/>
      <c r="BH375" s="1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</row>
    <row r="376" spans="1:73" x14ac:dyDescent="0.25">
      <c r="A376" s="30">
        <v>43903</v>
      </c>
      <c r="B376" s="32"/>
      <c r="C376" s="32"/>
      <c r="D376" s="31"/>
      <c r="E376" s="44"/>
      <c r="F376" s="31"/>
      <c r="G376" s="31"/>
      <c r="H376" s="31"/>
      <c r="I376" s="33">
        <f>(60*60*24)*7</f>
        <v>604800</v>
      </c>
      <c r="J376" s="33">
        <f>((60*60*24)*7)*2</f>
        <v>1209600</v>
      </c>
      <c r="K376" s="33">
        <f>((60*60*24)*7)*3</f>
        <v>1814400</v>
      </c>
      <c r="L376" s="33">
        <f>((60*60*24)*7)*4</f>
        <v>2419200</v>
      </c>
      <c r="M376" s="33">
        <f>((60*60*24)*7)*5</f>
        <v>3024000</v>
      </c>
      <c r="N376" s="33">
        <f>((60*60*24)*7)*6</f>
        <v>3628800</v>
      </c>
      <c r="O376" s="33">
        <f>((60*60*24)*7)*7</f>
        <v>4233600</v>
      </c>
      <c r="P376" s="33">
        <f>((60*60*24)*7)*8</f>
        <v>4838400</v>
      </c>
      <c r="Q376" s="33">
        <f>((60*60*24)*7)*9</f>
        <v>5443200</v>
      </c>
      <c r="R376" s="33">
        <f>((60*60*24)*7)*10</f>
        <v>6048000</v>
      </c>
      <c r="S376" s="33">
        <f>((60*60*24)*7)*11</f>
        <v>6652800</v>
      </c>
      <c r="T376" s="33">
        <f>((60*60*24)*7)*12</f>
        <v>7257600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</row>
    <row r="377" spans="1:73" x14ac:dyDescent="0.25">
      <c r="A377" s="30">
        <v>43903</v>
      </c>
      <c r="B377" s="32" t="s">
        <v>289</v>
      </c>
      <c r="C377" s="32" t="s">
        <v>164</v>
      </c>
      <c r="D377" s="31">
        <v>2020</v>
      </c>
      <c r="E377" s="44">
        <v>1</v>
      </c>
      <c r="F377" s="31" t="s">
        <v>433</v>
      </c>
      <c r="G377" s="31" t="s">
        <v>473</v>
      </c>
      <c r="H377" s="31" t="s">
        <v>375</v>
      </c>
      <c r="I377" s="35">
        <v>0.79589743589743622</v>
      </c>
      <c r="J377" s="35">
        <v>0.73250000000000015</v>
      </c>
      <c r="K377" s="35">
        <v>0.74822222222222223</v>
      </c>
      <c r="L377" s="35">
        <v>0.65999999999999992</v>
      </c>
      <c r="M377" s="35">
        <v>0.6579487179487179</v>
      </c>
      <c r="N377" s="35">
        <v>0.72080000000000044</v>
      </c>
      <c r="O377" s="35">
        <v>0.47854166666666659</v>
      </c>
      <c r="P377" s="35">
        <v>0.42581395348837209</v>
      </c>
      <c r="Q377" s="35">
        <v>0.46765957446808509</v>
      </c>
      <c r="R377" s="35">
        <v>0.4656603773584907</v>
      </c>
      <c r="S377" s="35">
        <v>0.58179487179487188</v>
      </c>
      <c r="T377" s="35">
        <v>0.29483870967741937</v>
      </c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</row>
    <row r="378" spans="1:73" x14ac:dyDescent="0.25">
      <c r="A378" s="30">
        <v>43903</v>
      </c>
      <c r="B378" s="32"/>
      <c r="C378" s="32"/>
      <c r="D378" s="31"/>
      <c r="E378" s="44"/>
      <c r="F378" s="31"/>
      <c r="G378" s="31"/>
      <c r="H378" s="31"/>
      <c r="I378" s="33">
        <f>(60*60*24)*7</f>
        <v>604800</v>
      </c>
      <c r="J378" s="33">
        <f>((60*60*24)*7)*2</f>
        <v>1209600</v>
      </c>
      <c r="K378" s="33">
        <f>((60*60*24)*7)*3</f>
        <v>1814400</v>
      </c>
      <c r="L378" s="33">
        <f>((60*60*24)*7)*4</f>
        <v>2419200</v>
      </c>
      <c r="M378" s="33">
        <f>((60*60*24)*7)*5</f>
        <v>3024000</v>
      </c>
      <c r="N378" s="33">
        <f>((60*60*24)*7)*6</f>
        <v>3628800</v>
      </c>
      <c r="O378" s="33">
        <f>((60*60*24)*7)*7</f>
        <v>4233600</v>
      </c>
      <c r="P378" s="33">
        <f>((60*60*24)*7)*8</f>
        <v>4838400</v>
      </c>
      <c r="Q378" s="33">
        <f>((60*60*24)*7)*9</f>
        <v>5443200</v>
      </c>
      <c r="R378" s="33">
        <f>((60*60*24)*7)*10</f>
        <v>6048000</v>
      </c>
      <c r="S378" s="33">
        <f>((60*60*24)*7)*11</f>
        <v>6652800</v>
      </c>
      <c r="T378" s="33">
        <f>((60*60*24)*7)*12</f>
        <v>7257600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</row>
    <row r="379" spans="1:73" x14ac:dyDescent="0.25">
      <c r="A379" s="30">
        <v>43903</v>
      </c>
      <c r="B379" s="32" t="s">
        <v>289</v>
      </c>
      <c r="C379" s="32" t="s">
        <v>164</v>
      </c>
      <c r="D379" s="31">
        <v>2020</v>
      </c>
      <c r="E379" s="44">
        <v>1</v>
      </c>
      <c r="F379" s="31" t="s">
        <v>433</v>
      </c>
      <c r="G379" s="31" t="s">
        <v>475</v>
      </c>
      <c r="H379" s="31" t="s">
        <v>375</v>
      </c>
      <c r="I379" s="35">
        <v>0.84729729729729752</v>
      </c>
      <c r="J379" s="35">
        <v>0.73254901960784335</v>
      </c>
      <c r="K379" s="35">
        <v>0.7925000000000002</v>
      </c>
      <c r="L379" s="35">
        <v>0.76916666666666678</v>
      </c>
      <c r="M379" s="35">
        <v>0.68977777777777805</v>
      </c>
      <c r="N379" s="35">
        <v>0.66739130434782634</v>
      </c>
      <c r="O379" s="35">
        <v>0.69199999999999995</v>
      </c>
      <c r="P379" s="35">
        <v>0.7834782608695654</v>
      </c>
      <c r="Q379" s="35">
        <v>0.6357142857142859</v>
      </c>
      <c r="R379" s="35">
        <v>0.73422222222222255</v>
      </c>
      <c r="S379" s="35">
        <v>0.60850000000000004</v>
      </c>
      <c r="T379" s="35">
        <v>0.63072727272727291</v>
      </c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</row>
    <row r="380" spans="1:73" x14ac:dyDescent="0.25">
      <c r="A380" s="30">
        <v>43903</v>
      </c>
      <c r="B380" s="32"/>
      <c r="C380" s="32"/>
      <c r="D380" s="31"/>
      <c r="E380" s="44"/>
      <c r="F380" s="31"/>
      <c r="G380" s="31"/>
      <c r="H380" s="31"/>
      <c r="I380" s="33">
        <f>(60*60*24)*7</f>
        <v>604800</v>
      </c>
      <c r="J380" s="33">
        <f>((60*60*24)*7)*2</f>
        <v>1209600</v>
      </c>
      <c r="K380" s="33">
        <f>((60*60*24)*7)*3</f>
        <v>1814400</v>
      </c>
      <c r="L380" s="33">
        <f>((60*60*24)*7)*4</f>
        <v>2419200</v>
      </c>
      <c r="M380" s="33">
        <f>((60*60*24)*7)*5</f>
        <v>3024000</v>
      </c>
      <c r="N380" s="33">
        <f>((60*60*24)*7)*6</f>
        <v>3628800</v>
      </c>
      <c r="O380" s="33">
        <f>((60*60*24)*7)*7</f>
        <v>4233600</v>
      </c>
      <c r="P380" s="33">
        <f>((60*60*24)*7)*8</f>
        <v>4838400</v>
      </c>
      <c r="Q380" s="33">
        <f>((60*60*24)*7)*9</f>
        <v>5443200</v>
      </c>
      <c r="R380" s="33">
        <f>((60*60*24)*7)*10</f>
        <v>6048000</v>
      </c>
      <c r="S380" s="33">
        <f>((60*60*24)*7)*11</f>
        <v>6652800</v>
      </c>
      <c r="T380" s="33">
        <f>((60*60*24)*7)*12</f>
        <v>7257600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</row>
    <row r="381" spans="1:73" x14ac:dyDescent="0.25">
      <c r="A381" s="30">
        <v>43903</v>
      </c>
      <c r="B381" s="32" t="s">
        <v>289</v>
      </c>
      <c r="C381" s="32" t="s">
        <v>164</v>
      </c>
      <c r="D381" s="31">
        <v>2020</v>
      </c>
      <c r="E381" s="44">
        <v>1</v>
      </c>
      <c r="F381" s="31" t="s">
        <v>433</v>
      </c>
      <c r="G381" s="31" t="s">
        <v>464</v>
      </c>
      <c r="H381" s="31" t="s">
        <v>375</v>
      </c>
      <c r="I381" s="35">
        <v>0.87804878048780488</v>
      </c>
      <c r="J381" s="35">
        <v>0.765625</v>
      </c>
      <c r="K381" s="35">
        <v>0.86111111111111116</v>
      </c>
      <c r="L381" s="35">
        <v>0.69444444444444442</v>
      </c>
      <c r="M381" s="35">
        <v>0.78333333333333333</v>
      </c>
      <c r="N381" s="35">
        <v>0.7</v>
      </c>
      <c r="O381" s="35">
        <v>0.77027027027027029</v>
      </c>
      <c r="P381" s="35">
        <v>0.7</v>
      </c>
      <c r="Q381" s="35">
        <v>0.77380952380952384</v>
      </c>
      <c r="R381" s="35">
        <v>0.63888888888888884</v>
      </c>
      <c r="S381" s="35">
        <v>0.72499999999999998</v>
      </c>
      <c r="T381" s="35">
        <v>0.75</v>
      </c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</row>
    <row r="382" spans="1:73" x14ac:dyDescent="0.25">
      <c r="A382" s="30">
        <v>43903</v>
      </c>
      <c r="B382" s="32"/>
      <c r="C382" s="32"/>
      <c r="D382" s="31"/>
      <c r="E382" s="44"/>
      <c r="F382" s="31"/>
      <c r="G382" s="31"/>
      <c r="H382" s="31"/>
      <c r="I382" s="33">
        <f>(60*60*24)*7</f>
        <v>604800</v>
      </c>
      <c r="J382" s="33">
        <f>((60*60*24)*7)*2</f>
        <v>1209600</v>
      </c>
      <c r="K382" s="33">
        <f>((60*60*24)*7)*3</f>
        <v>1814400</v>
      </c>
      <c r="L382" s="33">
        <f>((60*60*24)*7)*4</f>
        <v>2419200</v>
      </c>
      <c r="M382" s="33">
        <f>((60*60*24)*7)*5</f>
        <v>3024000</v>
      </c>
      <c r="N382" s="33">
        <f>((60*60*24)*7)*6</f>
        <v>3628800</v>
      </c>
      <c r="O382" s="33">
        <f>((60*60*24)*7)*7</f>
        <v>4233600</v>
      </c>
      <c r="P382" s="33">
        <f>((60*60*24)*7)*8</f>
        <v>4838400</v>
      </c>
      <c r="Q382" s="33">
        <f>((60*60*24)*7)*9</f>
        <v>5443200</v>
      </c>
      <c r="R382" s="33">
        <f>((60*60*24)*7)*10</f>
        <v>6048000</v>
      </c>
      <c r="S382" s="33">
        <f>((60*60*24)*7)*11</f>
        <v>6652800</v>
      </c>
      <c r="T382" s="33">
        <f>((60*60*24)*7)*12</f>
        <v>7257600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</row>
    <row r="383" spans="1:73" x14ac:dyDescent="0.25">
      <c r="A383" s="30">
        <v>43903</v>
      </c>
      <c r="B383" s="32" t="s">
        <v>289</v>
      </c>
      <c r="C383" s="32" t="s">
        <v>164</v>
      </c>
      <c r="D383" s="31">
        <v>2020</v>
      </c>
      <c r="E383" s="44">
        <v>1</v>
      </c>
      <c r="F383" s="31" t="s">
        <v>433</v>
      </c>
      <c r="G383" s="31" t="s">
        <v>466</v>
      </c>
      <c r="H383" s="31" t="s">
        <v>375</v>
      </c>
      <c r="I383" s="35">
        <v>0.9464285714285714</v>
      </c>
      <c r="J383" s="35">
        <v>0.9375</v>
      </c>
      <c r="K383" s="35">
        <v>1</v>
      </c>
      <c r="L383" s="35">
        <v>0.86956521739130432</v>
      </c>
      <c r="M383" s="35">
        <v>0.8928571428571429</v>
      </c>
      <c r="N383" s="35">
        <v>0.81666666666666665</v>
      </c>
      <c r="O383" s="35">
        <v>0.74</v>
      </c>
      <c r="P383" s="35">
        <v>0.90322580645161288</v>
      </c>
      <c r="Q383" s="35">
        <v>0.84615384615384615</v>
      </c>
      <c r="R383" s="35">
        <v>0.84615384615384615</v>
      </c>
      <c r="S383" s="35">
        <v>0.71153846153846156</v>
      </c>
      <c r="T383" s="35">
        <v>0.83333333333333337</v>
      </c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</row>
    <row r="384" spans="1:73" x14ac:dyDescent="0.25">
      <c r="A384" s="30">
        <v>43903</v>
      </c>
      <c r="B384" s="32"/>
      <c r="C384" s="32"/>
      <c r="D384" s="31"/>
      <c r="E384" s="44"/>
      <c r="F384" s="31"/>
      <c r="G384" s="31"/>
      <c r="H384" s="31"/>
      <c r="I384" s="33">
        <f>(60*60*24)*7</f>
        <v>604800</v>
      </c>
      <c r="J384" s="33">
        <f>((60*60*24)*7)*2</f>
        <v>1209600</v>
      </c>
      <c r="K384" s="33">
        <f>((60*60*24)*7)*3</f>
        <v>1814400</v>
      </c>
      <c r="L384" s="33">
        <f>((60*60*24)*7)*4</f>
        <v>2419200</v>
      </c>
      <c r="M384" s="33">
        <f>((60*60*24)*7)*5</f>
        <v>3024000</v>
      </c>
      <c r="N384" s="33">
        <f>((60*60*24)*7)*6</f>
        <v>3628800</v>
      </c>
      <c r="O384" s="33">
        <f>((60*60*24)*7)*7</f>
        <v>4233600</v>
      </c>
      <c r="P384" s="33">
        <f>((60*60*24)*7)*8</f>
        <v>4838400</v>
      </c>
      <c r="Q384" s="33">
        <f>((60*60*24)*7)*9</f>
        <v>5443200</v>
      </c>
      <c r="R384" s="33">
        <f>((60*60*24)*7)*10</f>
        <v>6048000</v>
      </c>
      <c r="S384" s="33">
        <f>((60*60*24)*7)*11</f>
        <v>6652800</v>
      </c>
      <c r="T384" s="33">
        <f>((60*60*24)*7)*12</f>
        <v>7257600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</row>
    <row r="385" spans="1:73" x14ac:dyDescent="0.25">
      <c r="A385" s="30">
        <v>43903</v>
      </c>
      <c r="B385" s="32" t="s">
        <v>289</v>
      </c>
      <c r="C385" s="32" t="s">
        <v>164</v>
      </c>
      <c r="D385" s="31">
        <v>2020</v>
      </c>
      <c r="E385" s="44">
        <v>1</v>
      </c>
      <c r="F385" s="31" t="s">
        <v>433</v>
      </c>
      <c r="G385" s="31" t="s">
        <v>465</v>
      </c>
      <c r="H385" s="31" t="s">
        <v>375</v>
      </c>
      <c r="I385" s="35">
        <v>0.94625000000000004</v>
      </c>
      <c r="J385" s="35">
        <v>0.83240000000000003</v>
      </c>
      <c r="K385" s="35">
        <v>0.86848484848484842</v>
      </c>
      <c r="L385" s="35">
        <v>0.82189999999999985</v>
      </c>
      <c r="M385" s="35">
        <v>0.81612903225806455</v>
      </c>
      <c r="N385" s="35">
        <v>0.89284375000000005</v>
      </c>
      <c r="O385" s="35">
        <v>0.76848148148148154</v>
      </c>
      <c r="P385" s="35">
        <v>0.8418000000000001</v>
      </c>
      <c r="Q385" s="35">
        <v>0.83078947368421052</v>
      </c>
      <c r="R385" s="35">
        <v>0.79592592592592604</v>
      </c>
      <c r="S385" s="35">
        <v>0.7316666666666668</v>
      </c>
      <c r="T385" s="35">
        <v>0.80305555555555552</v>
      </c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</row>
    <row r="386" spans="1:73" x14ac:dyDescent="0.25">
      <c r="A386" s="30">
        <v>43903</v>
      </c>
      <c r="B386" s="32"/>
      <c r="C386" s="32"/>
      <c r="D386" s="31"/>
      <c r="E386" s="44"/>
      <c r="F386" s="31"/>
      <c r="G386" s="31"/>
      <c r="H386" s="31"/>
      <c r="I386" s="33">
        <f>(60*60*24)*7</f>
        <v>604800</v>
      </c>
      <c r="J386" s="33">
        <f>((60*60*24)*7)*2</f>
        <v>1209600</v>
      </c>
      <c r="K386" s="33">
        <f>((60*60*24)*7)*3</f>
        <v>1814400</v>
      </c>
      <c r="L386" s="33">
        <f>((60*60*24)*7)*4</f>
        <v>2419200</v>
      </c>
      <c r="M386" s="33">
        <f>((60*60*24)*7)*5</f>
        <v>3024000</v>
      </c>
      <c r="N386" s="33">
        <f>((60*60*24)*7)*6</f>
        <v>3628800</v>
      </c>
      <c r="O386" s="33">
        <f>((60*60*24)*7)*7</f>
        <v>4233600</v>
      </c>
      <c r="P386" s="33">
        <f>((60*60*24)*7)*8</f>
        <v>4838400</v>
      </c>
      <c r="Q386" s="33">
        <f>((60*60*24)*7)*9</f>
        <v>5443200</v>
      </c>
      <c r="R386" s="33">
        <f>((60*60*24)*7)*10</f>
        <v>6048000</v>
      </c>
      <c r="S386" s="33">
        <f>((60*60*24)*7)*11</f>
        <v>6652800</v>
      </c>
      <c r="T386" s="33">
        <f>((60*60*24)*7)*12</f>
        <v>7257600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</row>
    <row r="387" spans="1:73" x14ac:dyDescent="0.25">
      <c r="A387" s="30">
        <v>43903</v>
      </c>
      <c r="B387" s="32" t="s">
        <v>289</v>
      </c>
      <c r="C387" s="32" t="s">
        <v>164</v>
      </c>
      <c r="D387" s="31">
        <v>2020</v>
      </c>
      <c r="E387" s="44">
        <v>1</v>
      </c>
      <c r="F387" s="31" t="s">
        <v>433</v>
      </c>
      <c r="G387" s="31" t="s">
        <v>476</v>
      </c>
      <c r="H387" s="31" t="s">
        <v>375</v>
      </c>
      <c r="I387" s="35">
        <v>0.78260869565217395</v>
      </c>
      <c r="J387" s="35">
        <v>0.77380952380952384</v>
      </c>
      <c r="K387" s="35">
        <v>0.6785714285714286</v>
      </c>
      <c r="L387" s="35">
        <v>0.66279069767441856</v>
      </c>
      <c r="M387" s="35">
        <v>0.75</v>
      </c>
      <c r="N387" s="35">
        <v>0.63513513513513509</v>
      </c>
      <c r="O387" s="35">
        <v>0.68478260869565222</v>
      </c>
      <c r="P387" s="35">
        <v>0.56000000000000005</v>
      </c>
      <c r="Q387" s="35">
        <v>0.7558139534883721</v>
      </c>
      <c r="R387" s="35">
        <v>0.58333333333333337</v>
      </c>
      <c r="S387" s="35">
        <v>0.5</v>
      </c>
      <c r="T387" s="35">
        <v>0.69298245614035092</v>
      </c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</row>
    <row r="388" spans="1:73" x14ac:dyDescent="0.25">
      <c r="A388" s="27">
        <v>43896</v>
      </c>
      <c r="B388" s="1"/>
      <c r="C388" s="1"/>
      <c r="D388" s="23"/>
      <c r="E388" s="38"/>
      <c r="F388" s="23"/>
      <c r="G388" s="23"/>
      <c r="H388" s="23"/>
      <c r="I388" s="12">
        <v>94608000</v>
      </c>
      <c r="J388" s="12">
        <v>252288000</v>
      </c>
      <c r="K388" s="12">
        <v>409968000</v>
      </c>
      <c r="L388" s="12">
        <v>567648000</v>
      </c>
      <c r="M388" s="12">
        <v>725328000</v>
      </c>
      <c r="N388" s="12">
        <v>883008000</v>
      </c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"/>
      <c r="BF388" s="1"/>
      <c r="BG388" s="1"/>
      <c r="BH388" s="1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</row>
    <row r="389" spans="1:73" x14ac:dyDescent="0.25">
      <c r="A389" s="27">
        <v>43896</v>
      </c>
      <c r="B389" s="1" t="s">
        <v>225</v>
      </c>
      <c r="C389" s="1" t="s">
        <v>226</v>
      </c>
      <c r="D389" s="23">
        <v>1991</v>
      </c>
      <c r="E389" s="38">
        <v>1</v>
      </c>
      <c r="F389" s="23" t="s">
        <v>32</v>
      </c>
      <c r="G389" s="23" t="s">
        <v>197</v>
      </c>
      <c r="H389" s="23" t="s">
        <v>206</v>
      </c>
      <c r="I389" s="18">
        <v>0.88</v>
      </c>
      <c r="J389" s="18">
        <v>0.96</v>
      </c>
      <c r="K389" s="18">
        <v>0.77</v>
      </c>
      <c r="L389" s="18">
        <v>0.83</v>
      </c>
      <c r="M389" s="18">
        <v>0.93</v>
      </c>
      <c r="N389" s="18">
        <v>0.84</v>
      </c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"/>
      <c r="BF389" s="1"/>
      <c r="BG389" s="1"/>
      <c r="BH389" s="1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</row>
    <row r="390" spans="1:73" x14ac:dyDescent="0.25">
      <c r="A390" s="27">
        <v>43896</v>
      </c>
      <c r="B390" s="1"/>
      <c r="C390" s="1"/>
      <c r="D390" s="23"/>
      <c r="E390" s="38"/>
      <c r="F390" s="23"/>
      <c r="G390" s="23"/>
      <c r="H390" s="23"/>
      <c r="I390" s="12">
        <v>157680000</v>
      </c>
      <c r="J390" s="12">
        <v>473040000</v>
      </c>
      <c r="K390" s="12">
        <v>788400000</v>
      </c>
      <c r="L390" s="12">
        <v>1103760000</v>
      </c>
      <c r="M390" s="12">
        <v>1419120000</v>
      </c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"/>
      <c r="BF390" s="1"/>
      <c r="BG390" s="1"/>
      <c r="BH390" s="1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</row>
    <row r="391" spans="1:73" x14ac:dyDescent="0.25">
      <c r="A391" s="27">
        <v>43896</v>
      </c>
      <c r="B391" s="1" t="s">
        <v>225</v>
      </c>
      <c r="C391" s="1" t="s">
        <v>226</v>
      </c>
      <c r="D391" s="23">
        <v>1991</v>
      </c>
      <c r="E391" s="38">
        <v>1</v>
      </c>
      <c r="F391" s="23" t="s">
        <v>32</v>
      </c>
      <c r="G391" s="23" t="s">
        <v>197</v>
      </c>
      <c r="H391" s="23" t="s">
        <v>208</v>
      </c>
      <c r="I391" s="18">
        <v>0.89473684210526316</v>
      </c>
      <c r="J391" s="18">
        <v>0.75</v>
      </c>
      <c r="K391" s="18">
        <v>0.84745762711864414</v>
      </c>
      <c r="L391" s="18">
        <v>0.6470588235294118</v>
      </c>
      <c r="M391" s="18">
        <v>0.4925373134328358</v>
      </c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"/>
      <c r="BF391" s="1"/>
      <c r="BG391" s="1"/>
      <c r="BH391" s="1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</row>
    <row r="392" spans="1:73" x14ac:dyDescent="0.25">
      <c r="A392" s="30">
        <v>43896</v>
      </c>
      <c r="B392" s="32"/>
      <c r="C392" s="32"/>
      <c r="D392" s="31"/>
      <c r="E392" s="44"/>
      <c r="F392" s="31"/>
      <c r="G392" s="31"/>
      <c r="H392" s="31"/>
      <c r="I392" s="33">
        <v>315360000</v>
      </c>
      <c r="J392" s="33">
        <v>630720000</v>
      </c>
      <c r="K392" s="33">
        <v>646080000</v>
      </c>
      <c r="L392" s="33">
        <v>12614400000</v>
      </c>
      <c r="M392" s="33">
        <v>1576800000</v>
      </c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"/>
      <c r="BF392" s="1"/>
      <c r="BG392" s="1"/>
      <c r="BH392" s="1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</row>
    <row r="393" spans="1:73" x14ac:dyDescent="0.25">
      <c r="A393" s="30">
        <v>43896</v>
      </c>
      <c r="B393" s="32" t="s">
        <v>227</v>
      </c>
      <c r="C393" s="32" t="s">
        <v>228</v>
      </c>
      <c r="D393" s="31">
        <v>1990</v>
      </c>
      <c r="E393" s="44">
        <v>1</v>
      </c>
      <c r="F393" s="31" t="s">
        <v>32</v>
      </c>
      <c r="G393" s="31" t="s">
        <v>197</v>
      </c>
      <c r="H393" s="31" t="s">
        <v>208</v>
      </c>
      <c r="I393" s="35">
        <v>0.78947368421052633</v>
      </c>
      <c r="J393" s="35">
        <v>0.75000000000000011</v>
      </c>
      <c r="K393" s="35">
        <v>0.77777777777777768</v>
      </c>
      <c r="L393" s="35">
        <v>0.74137931034482762</v>
      </c>
      <c r="M393" s="35">
        <v>0.63291139240506322</v>
      </c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"/>
      <c r="BF393" s="1"/>
      <c r="BG393" s="1"/>
      <c r="BH393" s="1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</row>
    <row r="394" spans="1:73" x14ac:dyDescent="0.25">
      <c r="A394" s="30">
        <v>43509</v>
      </c>
      <c r="B394" s="52"/>
      <c r="C394" s="52"/>
      <c r="D394" s="51"/>
      <c r="E394" s="57"/>
      <c r="F394" s="51"/>
      <c r="G394" s="51"/>
      <c r="H394" s="51"/>
      <c r="I394" s="68">
        <v>30</v>
      </c>
      <c r="J394" s="68">
        <f>5*60</f>
        <v>300</v>
      </c>
      <c r="K394" s="68">
        <f>20*60</f>
        <v>1200</v>
      </c>
      <c r="L394" s="68">
        <f>60*60</f>
        <v>3600</v>
      </c>
      <c r="M394" s="68">
        <f>8*60*60</f>
        <v>28800</v>
      </c>
      <c r="N394" s="68">
        <f>24*60*60</f>
        <v>86400</v>
      </c>
      <c r="O394" s="68">
        <f>2*24*60*60</f>
        <v>172800</v>
      </c>
      <c r="P394" s="68">
        <f>6*24*60*60</f>
        <v>518400</v>
      </c>
      <c r="Q394" s="68">
        <f>14*24*60*60</f>
        <v>1209600</v>
      </c>
      <c r="R394" s="68">
        <f>21*24*60*60</f>
        <v>1814400</v>
      </c>
      <c r="S394" s="68">
        <f>30*24*60*60</f>
        <v>2592000</v>
      </c>
      <c r="T394" s="68">
        <f>120*24*60*60</f>
        <v>10368000</v>
      </c>
      <c r="U394" s="53"/>
      <c r="V394" s="53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7"/>
      <c r="BF394" s="7"/>
      <c r="BG394" s="7"/>
      <c r="BH394" s="7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</row>
    <row r="395" spans="1:73" x14ac:dyDescent="0.25">
      <c r="A395" s="30">
        <v>43509</v>
      </c>
      <c r="B395" s="52" t="s">
        <v>119</v>
      </c>
      <c r="C395" s="52" t="s">
        <v>120</v>
      </c>
      <c r="D395" s="51">
        <v>1907</v>
      </c>
      <c r="E395" s="57"/>
      <c r="F395" s="51" t="s">
        <v>434</v>
      </c>
      <c r="G395" s="51"/>
      <c r="H395" s="51" t="s">
        <v>174</v>
      </c>
      <c r="I395" s="53">
        <v>1</v>
      </c>
      <c r="J395" s="53">
        <f>1-0.025</f>
        <v>0.97499999999999998</v>
      </c>
      <c r="K395" s="53">
        <f>1-0.114</f>
        <v>0.88600000000000001</v>
      </c>
      <c r="L395" s="53">
        <f>1-0.293</f>
        <v>0.70700000000000007</v>
      </c>
      <c r="M395" s="53">
        <f>1-0.526</f>
        <v>0.47399999999999998</v>
      </c>
      <c r="N395" s="53">
        <f>1-0.311</f>
        <v>0.68900000000000006</v>
      </c>
      <c r="O395" s="53">
        <f>1-0.391</f>
        <v>0.60899999999999999</v>
      </c>
      <c r="P395" s="53">
        <f>1-0.507</f>
        <v>0.49299999999999999</v>
      </c>
      <c r="Q395" s="53">
        <f>1-0.59</f>
        <v>0.41000000000000003</v>
      </c>
      <c r="R395" s="53">
        <f>1-0.622</f>
        <v>0.378</v>
      </c>
      <c r="S395" s="53">
        <f>1-0.798</f>
        <v>0.20199999999999996</v>
      </c>
      <c r="T395" s="53">
        <f>1-0.972</f>
        <v>2.8000000000000025E-2</v>
      </c>
      <c r="U395" s="53"/>
      <c r="V395" s="53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7"/>
      <c r="BF395" s="7"/>
      <c r="BG395" s="7"/>
      <c r="BH395" s="7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</row>
    <row r="396" spans="1:73" x14ac:dyDescent="0.25">
      <c r="A396" s="30">
        <v>43912</v>
      </c>
      <c r="B396" s="52"/>
      <c r="C396" s="52"/>
      <c r="D396" s="51"/>
      <c r="E396" s="57"/>
      <c r="F396" s="51"/>
      <c r="G396" s="51"/>
      <c r="H396" s="51"/>
      <c r="I396" s="68">
        <v>30</v>
      </c>
      <c r="J396" s="68">
        <f>20*60</f>
        <v>1200</v>
      </c>
      <c r="K396" s="68">
        <f>60*60</f>
        <v>3600</v>
      </c>
      <c r="L396" s="68">
        <f>8*60*60</f>
        <v>28800</v>
      </c>
      <c r="M396" s="68">
        <f>24*60*60</f>
        <v>86400</v>
      </c>
      <c r="N396" s="68">
        <f>2*24*60*60</f>
        <v>172800</v>
      </c>
      <c r="O396" s="68">
        <f>3*24*60*60</f>
        <v>259200</v>
      </c>
      <c r="P396" s="68">
        <f>4*24*60*60</f>
        <v>345600</v>
      </c>
      <c r="Q396" s="68">
        <f>5*24*60*60</f>
        <v>432000</v>
      </c>
      <c r="R396" s="68">
        <f>6*24*60*60</f>
        <v>518400</v>
      </c>
      <c r="S396" s="68">
        <f>7*24*60*60</f>
        <v>604800</v>
      </c>
      <c r="T396" s="68">
        <f>14*24*60*60</f>
        <v>1209600</v>
      </c>
      <c r="U396" s="68">
        <f>21*24*60*60</f>
        <v>1814400</v>
      </c>
      <c r="V396" s="68">
        <f>30*24*60*60</f>
        <v>2592000</v>
      </c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7"/>
      <c r="BF396" s="7"/>
      <c r="BG396" s="7"/>
      <c r="BH396" s="7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</row>
    <row r="397" spans="1:73" x14ac:dyDescent="0.25">
      <c r="A397" s="30">
        <v>43912</v>
      </c>
      <c r="B397" s="52" t="s">
        <v>119</v>
      </c>
      <c r="C397" s="52" t="s">
        <v>120</v>
      </c>
      <c r="D397" s="51">
        <v>1907</v>
      </c>
      <c r="E397" s="57"/>
      <c r="F397" s="51" t="s">
        <v>435</v>
      </c>
      <c r="G397" s="51"/>
      <c r="H397" s="51" t="s">
        <v>397</v>
      </c>
      <c r="I397" s="53">
        <v>1</v>
      </c>
      <c r="J397" s="53">
        <f>1-0.039</f>
        <v>0.96099999999999997</v>
      </c>
      <c r="K397" s="53">
        <f>1-0.217</f>
        <v>0.78300000000000003</v>
      </c>
      <c r="L397" s="53">
        <f>1-0.419</f>
        <v>0.58099999999999996</v>
      </c>
      <c r="M397" s="53">
        <f>1-0.203</f>
        <v>0.79699999999999993</v>
      </c>
      <c r="N397" s="53">
        <f>1-0.332</f>
        <v>0.66799999999999993</v>
      </c>
      <c r="O397" s="53">
        <f>1-0.435</f>
        <v>0.56499999999999995</v>
      </c>
      <c r="P397" s="53">
        <f>1-0.455</f>
        <v>0.54499999999999993</v>
      </c>
      <c r="Q397" s="53">
        <f>1-0.435</f>
        <v>0.56499999999999995</v>
      </c>
      <c r="R397" s="53">
        <f>1-0.576</f>
        <v>0.42400000000000004</v>
      </c>
      <c r="S397" s="53">
        <f>1-0.5</f>
        <v>0.5</v>
      </c>
      <c r="T397" s="53">
        <f>1-0.7</f>
        <v>0.30000000000000004</v>
      </c>
      <c r="U397" s="53">
        <f>1-0.524</f>
        <v>0.47599999999999998</v>
      </c>
      <c r="V397" s="53">
        <f>1-0.761</f>
        <v>0.23899999999999999</v>
      </c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7"/>
      <c r="BF397" s="7"/>
      <c r="BG397" s="7"/>
      <c r="BH397" s="7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</row>
    <row r="398" spans="1:73" x14ac:dyDescent="0.25">
      <c r="A398" s="27">
        <v>43509</v>
      </c>
      <c r="B398" s="7"/>
      <c r="C398" s="7"/>
      <c r="D398" s="25"/>
      <c r="E398" s="40"/>
      <c r="F398" s="25"/>
      <c r="G398" s="25"/>
      <c r="H398" s="25"/>
      <c r="I398" s="12">
        <f>60</f>
        <v>60</v>
      </c>
      <c r="J398" s="12">
        <f>3600</f>
        <v>3600</v>
      </c>
      <c r="K398" s="12">
        <f>24*3600</f>
        <v>86400</v>
      </c>
      <c r="L398" s="12">
        <f>7*24*3600</f>
        <v>604800</v>
      </c>
      <c r="M398" s="12">
        <f>14*24*3600</f>
        <v>1209600</v>
      </c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7"/>
      <c r="BF398" s="7"/>
      <c r="BG398" s="7"/>
      <c r="BH398" s="7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</row>
    <row r="399" spans="1:73" x14ac:dyDescent="0.25">
      <c r="A399" s="27">
        <v>43509</v>
      </c>
      <c r="B399" s="7" t="s">
        <v>95</v>
      </c>
      <c r="C399" s="7" t="s">
        <v>50</v>
      </c>
      <c r="D399" s="25">
        <v>2017</v>
      </c>
      <c r="E399" s="40">
        <v>1</v>
      </c>
      <c r="F399" s="25" t="s">
        <v>13</v>
      </c>
      <c r="G399" s="25"/>
      <c r="H399" s="25" t="s">
        <v>292</v>
      </c>
      <c r="I399" s="18">
        <v>0.97799999999999998</v>
      </c>
      <c r="J399" s="18">
        <v>0.96599999999999997</v>
      </c>
      <c r="K399" s="18">
        <v>0.94799999999999995</v>
      </c>
      <c r="L399" s="18">
        <v>0.93700000000000006</v>
      </c>
      <c r="M399" s="18">
        <v>0.84199999999999997</v>
      </c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7"/>
      <c r="BF399" s="7"/>
      <c r="BG399" s="7"/>
      <c r="BH399" s="7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</row>
    <row r="400" spans="1:73" x14ac:dyDescent="0.25">
      <c r="A400" s="27">
        <v>43509</v>
      </c>
      <c r="B400" s="1"/>
      <c r="C400" s="1"/>
      <c r="D400" s="23"/>
      <c r="E400" s="38"/>
      <c r="F400" s="23"/>
      <c r="G400" s="23"/>
      <c r="H400" s="23"/>
      <c r="I400" s="12">
        <f>60*0.1</f>
        <v>6</v>
      </c>
      <c r="J400" s="12">
        <f>60*0.2</f>
        <v>12</v>
      </c>
      <c r="K400" s="12">
        <f>60*0.3</f>
        <v>18</v>
      </c>
      <c r="L400" s="12">
        <f>60*0.4</f>
        <v>24</v>
      </c>
      <c r="M400" s="12">
        <f>60*0.7</f>
        <v>42</v>
      </c>
      <c r="N400" s="12">
        <f>60*1.2</f>
        <v>72</v>
      </c>
      <c r="O400" s="12">
        <f>60*2</f>
        <v>120</v>
      </c>
      <c r="P400" s="12">
        <f>60*3.5</f>
        <v>210</v>
      </c>
      <c r="Q400" s="12">
        <f>60*6</f>
        <v>360</v>
      </c>
      <c r="R400" s="12">
        <f>60*10</f>
        <v>600</v>
      </c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"/>
      <c r="BF400" s="1"/>
      <c r="BG400" s="1"/>
      <c r="BH400" s="1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</row>
    <row r="401" spans="1:73" x14ac:dyDescent="0.25">
      <c r="A401" s="27">
        <v>43509</v>
      </c>
      <c r="B401" s="1" t="s">
        <v>157</v>
      </c>
      <c r="C401" s="1" t="s">
        <v>28</v>
      </c>
      <c r="D401" s="23">
        <v>1999</v>
      </c>
      <c r="E401" s="38">
        <v>1</v>
      </c>
      <c r="F401" s="23" t="s">
        <v>32</v>
      </c>
      <c r="G401" s="23"/>
      <c r="H401" s="23" t="s">
        <v>190</v>
      </c>
      <c r="I401" s="18">
        <v>0.94699999999999995</v>
      </c>
      <c r="J401" s="18">
        <v>0.65</v>
      </c>
      <c r="K401" s="18">
        <v>0.435</v>
      </c>
      <c r="L401" s="18">
        <v>0.379</v>
      </c>
      <c r="M401" s="18">
        <v>0.33600000000000002</v>
      </c>
      <c r="N401" s="18">
        <v>0.3</v>
      </c>
      <c r="O401" s="18">
        <v>0.23</v>
      </c>
      <c r="P401" s="18">
        <v>0.183</v>
      </c>
      <c r="Q401" s="18">
        <v>0.13</v>
      </c>
      <c r="R401" s="18">
        <v>0.104</v>
      </c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"/>
      <c r="BF401" s="1"/>
      <c r="BG401" s="1"/>
      <c r="BH401" s="1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</row>
    <row r="402" spans="1:73" x14ac:dyDescent="0.25">
      <c r="A402" s="30">
        <v>43897</v>
      </c>
      <c r="B402" s="32"/>
      <c r="C402" s="32"/>
      <c r="D402" s="31"/>
      <c r="E402" s="44"/>
      <c r="F402" s="31"/>
      <c r="G402" s="31"/>
      <c r="H402" s="31"/>
      <c r="I402" s="33">
        <v>94608000</v>
      </c>
      <c r="J402" s="33">
        <v>409968000</v>
      </c>
      <c r="K402" s="33">
        <v>725328000</v>
      </c>
      <c r="L402" s="33">
        <v>1040688000</v>
      </c>
      <c r="M402" s="33">
        <v>1356048000</v>
      </c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"/>
      <c r="BF402" s="1"/>
      <c r="BG402" s="1"/>
      <c r="BH402" s="1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</row>
    <row r="403" spans="1:73" x14ac:dyDescent="0.25">
      <c r="A403" s="30">
        <v>43897</v>
      </c>
      <c r="B403" s="32" t="s">
        <v>242</v>
      </c>
      <c r="C403" s="32" t="s">
        <v>243</v>
      </c>
      <c r="D403" s="31">
        <v>1988</v>
      </c>
      <c r="E403" s="44">
        <v>1</v>
      </c>
      <c r="F403" s="31" t="s">
        <v>207</v>
      </c>
      <c r="G403" s="31" t="s">
        <v>197</v>
      </c>
      <c r="H403" s="31" t="s">
        <v>244</v>
      </c>
      <c r="I403" s="35">
        <v>0.95384615384615379</v>
      </c>
      <c r="J403" s="35">
        <v>0.94202898550724645</v>
      </c>
      <c r="K403" s="35">
        <v>0.77777777777777779</v>
      </c>
      <c r="L403" s="35">
        <v>0.83561643835616439</v>
      </c>
      <c r="M403" s="35">
        <v>0.94736842105263153</v>
      </c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"/>
      <c r="BF403" s="1"/>
      <c r="BG403" s="1"/>
      <c r="BH403" s="1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</row>
    <row r="404" spans="1:73" x14ac:dyDescent="0.25">
      <c r="A404" s="27">
        <v>43897</v>
      </c>
      <c r="B404" s="1"/>
      <c r="C404" s="1"/>
      <c r="D404" s="23"/>
      <c r="E404" s="38"/>
      <c r="F404" s="23"/>
      <c r="G404" s="23"/>
      <c r="H404" s="23"/>
      <c r="I404" s="12">
        <f>60*60*24*365*3</f>
        <v>94608000</v>
      </c>
      <c r="J404" s="12">
        <f>60*60*24*365*13</f>
        <v>409968000</v>
      </c>
      <c r="K404" s="12">
        <f>60*60*24*365*23</f>
        <v>725328000</v>
      </c>
      <c r="L404" s="12">
        <f>60*60*24*365*33</f>
        <v>1040688000</v>
      </c>
      <c r="M404" s="12">
        <f>60*60*24*365*43</f>
        <v>1356048000</v>
      </c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"/>
      <c r="BF404" s="1"/>
      <c r="BG404" s="1"/>
      <c r="BH404" s="1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</row>
    <row r="405" spans="1:73" x14ac:dyDescent="0.25">
      <c r="A405" s="27">
        <v>43897</v>
      </c>
      <c r="B405" s="1" t="s">
        <v>245</v>
      </c>
      <c r="C405" s="1" t="s">
        <v>246</v>
      </c>
      <c r="D405" s="23">
        <v>1988</v>
      </c>
      <c r="E405" s="38">
        <v>1</v>
      </c>
      <c r="F405" s="23" t="s">
        <v>25</v>
      </c>
      <c r="G405" s="23" t="s">
        <v>197</v>
      </c>
      <c r="H405" s="23" t="s">
        <v>241</v>
      </c>
      <c r="I405" s="18">
        <v>0.9</v>
      </c>
      <c r="J405" s="18">
        <v>0.84</v>
      </c>
      <c r="K405" s="18">
        <v>0.82</v>
      </c>
      <c r="L405" s="18">
        <v>0.81</v>
      </c>
      <c r="M405" s="18">
        <v>0.85</v>
      </c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"/>
      <c r="BF405" s="1"/>
      <c r="BG405" s="1"/>
      <c r="BH405" s="1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</row>
    <row r="406" spans="1:73" x14ac:dyDescent="0.25">
      <c r="A406" s="27">
        <v>43979</v>
      </c>
      <c r="B406" s="1"/>
      <c r="C406" s="1"/>
      <c r="D406" s="23"/>
      <c r="E406" s="38"/>
      <c r="F406" s="23"/>
      <c r="G406" s="23"/>
      <c r="H406" s="23"/>
      <c r="I406" s="12">
        <f>5*60</f>
        <v>300</v>
      </c>
      <c r="J406" s="12">
        <f>60*60*2</f>
        <v>7200</v>
      </c>
      <c r="K406" s="12">
        <f>60*60*24*7*3</f>
        <v>1814400</v>
      </c>
      <c r="L406" s="12">
        <f>60*60*24*7*6</f>
        <v>3628800</v>
      </c>
      <c r="M406" s="12">
        <f>60*60*24*7*27</f>
        <v>16329600</v>
      </c>
      <c r="N406" s="87"/>
      <c r="O406" s="18" t="s">
        <v>518</v>
      </c>
      <c r="P406" s="88"/>
      <c r="Q406" s="8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"/>
      <c r="BF406" s="1"/>
      <c r="BG406" s="1"/>
      <c r="BH406" s="1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</row>
    <row r="407" spans="1:73" x14ac:dyDescent="0.25">
      <c r="A407" s="27">
        <v>43979</v>
      </c>
      <c r="B407" s="1" t="s">
        <v>514</v>
      </c>
      <c r="C407" s="1" t="s">
        <v>515</v>
      </c>
      <c r="D407" s="23">
        <v>1995</v>
      </c>
      <c r="E407" s="38">
        <v>1</v>
      </c>
      <c r="F407" s="23" t="s">
        <v>32</v>
      </c>
      <c r="G407" s="23" t="s">
        <v>516</v>
      </c>
      <c r="H407" s="23" t="s">
        <v>186</v>
      </c>
      <c r="I407" s="18">
        <v>0.98523068834677108</v>
      </c>
      <c r="J407" s="18">
        <v>0.98218412869708305</v>
      </c>
      <c r="K407" s="18">
        <v>0.83677939075724694</v>
      </c>
      <c r="L407" s="18">
        <v>0.76165859023980209</v>
      </c>
      <c r="M407" s="18">
        <v>0.72784067129461405</v>
      </c>
      <c r="N407" s="87"/>
      <c r="O407" s="87"/>
      <c r="P407" s="88"/>
      <c r="Q407" s="8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"/>
      <c r="BF407" s="1"/>
      <c r="BG407" s="1"/>
      <c r="BH407" s="1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</row>
    <row r="408" spans="1:73" x14ac:dyDescent="0.25">
      <c r="A408" s="27">
        <v>43979</v>
      </c>
      <c r="B408" s="1"/>
      <c r="C408" s="1"/>
      <c r="D408" s="23"/>
      <c r="E408" s="38"/>
      <c r="F408" s="23"/>
      <c r="G408" s="23"/>
      <c r="H408" s="23"/>
      <c r="I408" s="12">
        <f>5*60</f>
        <v>300</v>
      </c>
      <c r="J408" s="12">
        <f>60*60*2</f>
        <v>7200</v>
      </c>
      <c r="K408" s="12">
        <f>60*60*24*7*3</f>
        <v>1814400</v>
      </c>
      <c r="L408" s="12">
        <f>60*60*24*7*6</f>
        <v>3628800</v>
      </c>
      <c r="M408" s="12">
        <f>60*60*24*7*27</f>
        <v>16329600</v>
      </c>
      <c r="N408" s="87"/>
      <c r="O408" s="87"/>
      <c r="P408" s="88"/>
      <c r="Q408" s="8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"/>
      <c r="BF408" s="1"/>
      <c r="BG408" s="1"/>
      <c r="BH408" s="1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</row>
    <row r="409" spans="1:73" x14ac:dyDescent="0.25">
      <c r="A409" s="27">
        <v>43979</v>
      </c>
      <c r="B409" s="1" t="s">
        <v>514</v>
      </c>
      <c r="C409" s="1" t="s">
        <v>515</v>
      </c>
      <c r="D409" s="23">
        <v>1995</v>
      </c>
      <c r="E409" s="38">
        <v>1</v>
      </c>
      <c r="F409" s="23" t="s">
        <v>32</v>
      </c>
      <c r="G409" s="23" t="s">
        <v>519</v>
      </c>
      <c r="H409" s="23" t="s">
        <v>186</v>
      </c>
      <c r="I409" s="18">
        <v>0.99842829620252205</v>
      </c>
      <c r="J409" s="18">
        <v>0.99684967469466901</v>
      </c>
      <c r="K409" s="18">
        <v>0.85291010781251597</v>
      </c>
      <c r="L409" s="18">
        <v>0.69493035595078689</v>
      </c>
      <c r="M409" s="18">
        <v>0.66257899160535805</v>
      </c>
      <c r="N409" s="87"/>
      <c r="O409" s="87"/>
      <c r="P409" s="88"/>
      <c r="Q409" s="8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"/>
      <c r="BF409" s="1"/>
      <c r="BG409" s="1"/>
      <c r="BH409" s="1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</row>
    <row r="410" spans="1:73" x14ac:dyDescent="0.25">
      <c r="A410" s="30">
        <v>43509</v>
      </c>
      <c r="B410" s="32"/>
      <c r="C410" s="32"/>
      <c r="D410" s="31"/>
      <c r="E410" s="44"/>
      <c r="F410" s="31"/>
      <c r="G410" s="31"/>
      <c r="H410" s="31"/>
      <c r="I410" s="33">
        <f>365*24*60*60*1</f>
        <v>31536000</v>
      </c>
      <c r="J410" s="33">
        <f>365*24*60*60*2</f>
        <v>63072000</v>
      </c>
      <c r="K410" s="33">
        <f>365*24*60*60*3</f>
        <v>94608000</v>
      </c>
      <c r="L410" s="33">
        <f>365*24*60*60*4</f>
        <v>126144000</v>
      </c>
      <c r="M410" s="33">
        <f>365*24*60*60*5</f>
        <v>157680000</v>
      </c>
      <c r="N410" s="33">
        <f>365*24*60*60*6</f>
        <v>189216000</v>
      </c>
      <c r="O410" s="33">
        <f>365*24*60*60*7</f>
        <v>220752000</v>
      </c>
      <c r="P410" s="33">
        <f>365*24*60*60*8</f>
        <v>252288000</v>
      </c>
      <c r="Q410" s="33">
        <f>365*24*60*60*9</f>
        <v>283824000</v>
      </c>
      <c r="R410" s="33">
        <f>365*24*60*60*10</f>
        <v>315360000</v>
      </c>
      <c r="S410" s="33">
        <f>365*24*60*60*11</f>
        <v>346896000</v>
      </c>
      <c r="T410" s="33">
        <f>365*24*60*60*12</f>
        <v>378432000</v>
      </c>
      <c r="U410" s="33">
        <f>365*24*60*60*13</f>
        <v>409968000</v>
      </c>
      <c r="V410" s="33">
        <f>365*24*60*60*14</f>
        <v>441504000</v>
      </c>
      <c r="W410" s="33">
        <f>365*24*60*60*15</f>
        <v>473040000</v>
      </c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"/>
      <c r="BF410" s="1"/>
      <c r="BG410" s="1"/>
      <c r="BH410" s="1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</row>
    <row r="411" spans="1:73" x14ac:dyDescent="0.25">
      <c r="A411" s="30">
        <v>43509</v>
      </c>
      <c r="B411" s="32" t="s">
        <v>138</v>
      </c>
      <c r="C411" s="32" t="s">
        <v>139</v>
      </c>
      <c r="D411" s="31">
        <v>1989</v>
      </c>
      <c r="E411" s="44">
        <v>1</v>
      </c>
      <c r="F411" s="31" t="s">
        <v>136</v>
      </c>
      <c r="G411" s="31"/>
      <c r="H411" s="31" t="s">
        <v>231</v>
      </c>
      <c r="I411" s="35">
        <v>0.76600000000000001</v>
      </c>
      <c r="J411" s="35">
        <v>0.73099999999999998</v>
      </c>
      <c r="K411" s="35">
        <v>0.70799999999999996</v>
      </c>
      <c r="L411" s="35">
        <v>0.68</v>
      </c>
      <c r="M411" s="35">
        <v>0.65600000000000003</v>
      </c>
      <c r="N411" s="35">
        <v>0.63600000000000001</v>
      </c>
      <c r="O411" s="35">
        <v>0.61</v>
      </c>
      <c r="P411" s="35">
        <v>0.60599999999999998</v>
      </c>
      <c r="Q411" s="35">
        <v>0.629</v>
      </c>
      <c r="R411" s="35">
        <v>0.59599999999999997</v>
      </c>
      <c r="S411" s="35">
        <v>0.59699999999999998</v>
      </c>
      <c r="T411" s="35">
        <v>0.57999999999999996</v>
      </c>
      <c r="U411" s="35">
        <v>0.55500000000000005</v>
      </c>
      <c r="V411" s="35">
        <v>0.55300000000000005</v>
      </c>
      <c r="W411" s="35">
        <v>0.57799999999999996</v>
      </c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"/>
      <c r="BF411" s="1"/>
      <c r="BG411" s="1"/>
      <c r="BH411" s="1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</row>
    <row r="412" spans="1:73" x14ac:dyDescent="0.25">
      <c r="A412" s="27">
        <v>43897</v>
      </c>
      <c r="B412" s="5"/>
      <c r="C412" s="5"/>
      <c r="D412" s="22"/>
      <c r="E412" s="37"/>
      <c r="F412" s="22"/>
      <c r="G412" s="22"/>
      <c r="H412" s="22"/>
      <c r="I412" s="12">
        <v>157680000</v>
      </c>
      <c r="J412" s="12">
        <v>473040000</v>
      </c>
      <c r="K412" s="12">
        <v>788400000</v>
      </c>
      <c r="L412" s="12">
        <v>1103760000</v>
      </c>
      <c r="M412" s="12">
        <v>1419120000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5"/>
      <c r="BF412" s="5"/>
      <c r="BG412" s="5"/>
      <c r="BH412" s="5"/>
    </row>
    <row r="413" spans="1:73" x14ac:dyDescent="0.25">
      <c r="A413" s="27">
        <v>43897</v>
      </c>
      <c r="B413" s="5" t="s">
        <v>247</v>
      </c>
      <c r="C413" s="5" t="s">
        <v>81</v>
      </c>
      <c r="D413" s="22">
        <v>1982</v>
      </c>
      <c r="E413" s="38">
        <v>1</v>
      </c>
      <c r="F413" s="22" t="s">
        <v>271</v>
      </c>
      <c r="G413" s="23" t="s">
        <v>197</v>
      </c>
      <c r="H413" s="23" t="s">
        <v>208</v>
      </c>
      <c r="I413" s="18">
        <v>0.62857142857142867</v>
      </c>
      <c r="J413" s="18">
        <v>0.58333333333333337</v>
      </c>
      <c r="K413" s="18">
        <v>0.50769230769230766</v>
      </c>
      <c r="L413" s="18">
        <v>0.53020134228187921</v>
      </c>
      <c r="M413" s="18">
        <v>0.4705882352941177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5"/>
      <c r="BF413" s="5"/>
      <c r="BG413" s="5"/>
      <c r="BH413" s="5"/>
    </row>
    <row r="414" spans="1:73" x14ac:dyDescent="0.25">
      <c r="A414" s="30">
        <v>43897</v>
      </c>
      <c r="B414" s="48"/>
      <c r="C414" s="48"/>
      <c r="D414" s="46"/>
      <c r="E414" s="44"/>
      <c r="F414" s="46"/>
      <c r="G414" s="31"/>
      <c r="H414" s="31"/>
      <c r="I414" s="33">
        <v>94608000</v>
      </c>
      <c r="J414" s="33">
        <v>409968000</v>
      </c>
      <c r="K414" s="33">
        <v>725328000</v>
      </c>
      <c r="L414" s="33">
        <v>1040688000</v>
      </c>
      <c r="M414" s="33">
        <v>1324512000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5"/>
      <c r="BF414" s="5"/>
      <c r="BG414" s="5"/>
      <c r="BH414" s="5"/>
    </row>
    <row r="415" spans="1:73" x14ac:dyDescent="0.25">
      <c r="A415" s="30">
        <v>43897</v>
      </c>
      <c r="B415" s="48" t="s">
        <v>248</v>
      </c>
      <c r="C415" s="48" t="s">
        <v>240</v>
      </c>
      <c r="D415" s="46">
        <v>1989</v>
      </c>
      <c r="E415" s="44">
        <v>1</v>
      </c>
      <c r="F415" s="46" t="s">
        <v>32</v>
      </c>
      <c r="G415" s="31" t="s">
        <v>197</v>
      </c>
      <c r="H415" s="31" t="s">
        <v>208</v>
      </c>
      <c r="I415" s="35">
        <v>0.9242424242424242</v>
      </c>
      <c r="J415" s="35">
        <v>0.91860465116279078</v>
      </c>
      <c r="K415" s="35">
        <v>0.89534883720930236</v>
      </c>
      <c r="L415" s="35">
        <v>0.83333333333333337</v>
      </c>
      <c r="M415" s="35">
        <v>0.86274509803921573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5"/>
      <c r="BF415" s="5"/>
      <c r="BG415" s="5"/>
      <c r="BH415" s="5"/>
    </row>
    <row r="416" spans="1:73" x14ac:dyDescent="0.25">
      <c r="A416" s="30">
        <v>43900</v>
      </c>
      <c r="B416" s="32"/>
      <c r="C416" s="32"/>
      <c r="D416" s="31"/>
      <c r="E416" s="44"/>
      <c r="F416" s="31"/>
      <c r="G416" s="31"/>
      <c r="H416" s="31"/>
      <c r="I416" s="33">
        <v>6307200</v>
      </c>
      <c r="J416" s="33">
        <v>126144000</v>
      </c>
      <c r="K416" s="33">
        <v>189216000</v>
      </c>
      <c r="L416" s="33">
        <v>252880000</v>
      </c>
      <c r="M416" s="33">
        <v>315360000</v>
      </c>
      <c r="N416" s="33">
        <v>378432000</v>
      </c>
      <c r="O416" s="33">
        <v>441504000</v>
      </c>
      <c r="P416" s="33">
        <v>504576000</v>
      </c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"/>
      <c r="BF416" s="1"/>
      <c r="BG416" s="1"/>
      <c r="BH416" s="1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</row>
    <row r="417" spans="1:73" x14ac:dyDescent="0.25">
      <c r="A417" s="30">
        <v>43900</v>
      </c>
      <c r="B417" s="32" t="s">
        <v>255</v>
      </c>
      <c r="C417" s="32" t="s">
        <v>256</v>
      </c>
      <c r="D417" s="31">
        <v>1975</v>
      </c>
      <c r="E417" s="44">
        <v>1</v>
      </c>
      <c r="F417" s="31" t="s">
        <v>32</v>
      </c>
      <c r="G417" s="31" t="s">
        <v>257</v>
      </c>
      <c r="H417" s="31" t="s">
        <v>231</v>
      </c>
      <c r="I417" s="35">
        <v>0.77</v>
      </c>
      <c r="J417" s="35">
        <v>0.75</v>
      </c>
      <c r="K417" s="35">
        <v>0.59</v>
      </c>
      <c r="L417" s="35">
        <v>0.53</v>
      </c>
      <c r="M417" s="35">
        <v>0.54</v>
      </c>
      <c r="N417" s="35">
        <v>0.55000000000000004</v>
      </c>
      <c r="O417" s="35">
        <v>0.52</v>
      </c>
      <c r="P417" s="35">
        <v>0.37</v>
      </c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"/>
      <c r="BF417" s="1"/>
      <c r="BG417" s="1"/>
      <c r="BH417" s="1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</row>
    <row r="418" spans="1:73" x14ac:dyDescent="0.25">
      <c r="A418" s="30">
        <v>43900</v>
      </c>
      <c r="B418" s="32"/>
      <c r="C418" s="32"/>
      <c r="D418" s="31"/>
      <c r="E418" s="44"/>
      <c r="F418" s="31"/>
      <c r="G418" s="31"/>
      <c r="H418" s="31"/>
      <c r="I418" s="33">
        <v>6307200</v>
      </c>
      <c r="J418" s="33">
        <v>126144000</v>
      </c>
      <c r="K418" s="33">
        <v>189216000</v>
      </c>
      <c r="L418" s="33">
        <v>252880000</v>
      </c>
      <c r="M418" s="33">
        <v>315360000</v>
      </c>
      <c r="N418" s="33">
        <v>378432000</v>
      </c>
      <c r="O418" s="33">
        <v>441504000</v>
      </c>
      <c r="P418" s="33">
        <v>504576000</v>
      </c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"/>
      <c r="BF418" s="1"/>
      <c r="BG418" s="1"/>
      <c r="BH418" s="1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</row>
    <row r="419" spans="1:73" x14ac:dyDescent="0.25">
      <c r="A419" s="30">
        <v>43900</v>
      </c>
      <c r="B419" s="32" t="s">
        <v>255</v>
      </c>
      <c r="C419" s="32" t="s">
        <v>256</v>
      </c>
      <c r="D419" s="31">
        <v>1975</v>
      </c>
      <c r="E419" s="44">
        <v>1</v>
      </c>
      <c r="F419" s="31" t="s">
        <v>25</v>
      </c>
      <c r="G419" s="31" t="s">
        <v>257</v>
      </c>
      <c r="H419" s="31" t="s">
        <v>258</v>
      </c>
      <c r="I419" s="35">
        <v>0.52</v>
      </c>
      <c r="J419" s="35">
        <v>0.55000000000000004</v>
      </c>
      <c r="K419" s="35">
        <v>0.41</v>
      </c>
      <c r="L419" s="35">
        <v>0.41</v>
      </c>
      <c r="M419" s="35">
        <v>0.41</v>
      </c>
      <c r="N419" s="35">
        <v>0.45</v>
      </c>
      <c r="O419" s="35">
        <v>0.43</v>
      </c>
      <c r="P419" s="35">
        <v>0.42</v>
      </c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"/>
      <c r="BF419" s="1"/>
      <c r="BG419" s="1"/>
      <c r="BH419" s="1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</row>
    <row r="420" spans="1:73" x14ac:dyDescent="0.25">
      <c r="A420" s="30">
        <v>43897</v>
      </c>
      <c r="B420" s="32"/>
      <c r="C420" s="32"/>
      <c r="D420" s="61"/>
      <c r="E420" s="44"/>
      <c r="F420" s="31"/>
      <c r="G420" s="31"/>
      <c r="H420" s="31"/>
      <c r="I420" s="33">
        <v>15</v>
      </c>
      <c r="J420" s="33">
        <v>600</v>
      </c>
      <c r="K420" s="33">
        <v>7200</v>
      </c>
      <c r="L420" s="33">
        <v>86400</v>
      </c>
      <c r="M420" s="33">
        <v>1209600</v>
      </c>
      <c r="N420" s="50">
        <v>4838400</v>
      </c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"/>
      <c r="BF420" s="1"/>
      <c r="BG420" s="1"/>
      <c r="BH420" s="1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</row>
    <row r="421" spans="1:73" x14ac:dyDescent="0.25">
      <c r="A421" s="30">
        <v>43897</v>
      </c>
      <c r="B421" s="32" t="s">
        <v>249</v>
      </c>
      <c r="C421" s="32" t="s">
        <v>81</v>
      </c>
      <c r="D421" s="61">
        <v>1990</v>
      </c>
      <c r="E421" s="44">
        <v>1</v>
      </c>
      <c r="F421" s="31" t="s">
        <v>274</v>
      </c>
      <c r="G421" s="31" t="s">
        <v>197</v>
      </c>
      <c r="H421" s="31" t="s">
        <v>12</v>
      </c>
      <c r="I421" s="35">
        <v>0.97</v>
      </c>
      <c r="J421" s="35">
        <v>0.94</v>
      </c>
      <c r="K421" s="35">
        <v>0.9</v>
      </c>
      <c r="L421" s="35">
        <v>0.78</v>
      </c>
      <c r="M421" s="35">
        <v>0.7</v>
      </c>
      <c r="N421" s="35">
        <v>0.59</v>
      </c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"/>
      <c r="BF421" s="1"/>
      <c r="BG421" s="1"/>
      <c r="BH421" s="1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</row>
    <row r="422" spans="1:73" x14ac:dyDescent="0.25">
      <c r="A422" s="30">
        <v>43897</v>
      </c>
      <c r="B422" s="32"/>
      <c r="C422" s="32"/>
      <c r="D422" s="61"/>
      <c r="E422" s="44"/>
      <c r="F422" s="31"/>
      <c r="G422" s="31"/>
      <c r="H422" s="31"/>
      <c r="I422" s="33">
        <v>15</v>
      </c>
      <c r="J422" s="33">
        <v>600</v>
      </c>
      <c r="K422" s="33">
        <v>7200</v>
      </c>
      <c r="L422" s="33">
        <v>86400</v>
      </c>
      <c r="M422" s="33">
        <v>1209600</v>
      </c>
      <c r="N422" s="50">
        <v>4838400</v>
      </c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"/>
      <c r="BF422" s="1"/>
      <c r="BG422" s="1"/>
      <c r="BH422" s="1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</row>
    <row r="423" spans="1:73" x14ac:dyDescent="0.25">
      <c r="A423" s="30">
        <v>43897</v>
      </c>
      <c r="B423" s="32" t="s">
        <v>249</v>
      </c>
      <c r="C423" s="32" t="s">
        <v>81</v>
      </c>
      <c r="D423" s="61">
        <v>1990</v>
      </c>
      <c r="E423" s="44">
        <v>1</v>
      </c>
      <c r="F423" s="31" t="s">
        <v>274</v>
      </c>
      <c r="G423" s="31" t="s">
        <v>197</v>
      </c>
      <c r="H423" s="31" t="s">
        <v>12</v>
      </c>
      <c r="I423" s="35">
        <v>0.48</v>
      </c>
      <c r="J423" s="35">
        <v>0.35</v>
      </c>
      <c r="K423" s="35">
        <v>0.28000000000000003</v>
      </c>
      <c r="L423" s="35">
        <v>0.14000000000000001</v>
      </c>
      <c r="M423" s="35">
        <v>0.11</v>
      </c>
      <c r="N423" s="35">
        <v>0.08</v>
      </c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"/>
      <c r="BF423" s="1"/>
      <c r="BG423" s="1"/>
      <c r="BH423" s="1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</row>
    <row r="424" spans="1:73" x14ac:dyDescent="0.25">
      <c r="A424" s="27">
        <v>43509</v>
      </c>
      <c r="B424" s="1"/>
      <c r="C424" s="1"/>
      <c r="D424" s="23"/>
      <c r="E424" s="38"/>
      <c r="F424" s="23"/>
      <c r="G424" s="23"/>
      <c r="H424" s="23"/>
      <c r="I424" s="12">
        <v>60</v>
      </c>
      <c r="J424" s="12">
        <f>7*24*3600*1</f>
        <v>604800</v>
      </c>
      <c r="K424" s="12">
        <f>7*24*3600*2</f>
        <v>1209600</v>
      </c>
      <c r="L424" s="12">
        <f>7*24*3600*3</f>
        <v>1814400</v>
      </c>
      <c r="M424" s="12">
        <f>7*24*3600*4</f>
        <v>2419200</v>
      </c>
      <c r="N424" s="18" t="s">
        <v>314</v>
      </c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"/>
      <c r="BF424" s="1"/>
      <c r="BG424" s="1"/>
      <c r="BH424" s="1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</row>
    <row r="425" spans="1:73" x14ac:dyDescent="0.25">
      <c r="A425" s="27">
        <v>43509</v>
      </c>
      <c r="B425" s="1" t="s">
        <v>100</v>
      </c>
      <c r="C425" s="1" t="s">
        <v>101</v>
      </c>
      <c r="D425" s="23">
        <v>1970</v>
      </c>
      <c r="E425" s="38">
        <v>1</v>
      </c>
      <c r="F425" s="23" t="s">
        <v>32</v>
      </c>
      <c r="G425" s="23" t="s">
        <v>443</v>
      </c>
      <c r="H425" s="23" t="s">
        <v>445</v>
      </c>
      <c r="I425" s="18">
        <f>4/5</f>
        <v>0.8</v>
      </c>
      <c r="J425" s="18">
        <f>2.5/5</f>
        <v>0.5</v>
      </c>
      <c r="K425" s="18">
        <f>1.9/5</f>
        <v>0.38</v>
      </c>
      <c r="L425" s="18">
        <f>1.8/5</f>
        <v>0.36</v>
      </c>
      <c r="M425" s="18">
        <f>0.85/5</f>
        <v>0.16999999999999998</v>
      </c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"/>
      <c r="BF425" s="1"/>
      <c r="BG425" s="1"/>
      <c r="BH425" s="1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</row>
    <row r="426" spans="1:73" x14ac:dyDescent="0.25">
      <c r="A426" s="27">
        <v>43509</v>
      </c>
      <c r="B426" s="1"/>
      <c r="C426" s="1"/>
      <c r="D426" s="23"/>
      <c r="E426" s="38"/>
      <c r="F426" s="23"/>
      <c r="G426" s="23"/>
      <c r="H426" s="23"/>
      <c r="I426" s="12">
        <v>60</v>
      </c>
      <c r="J426" s="12">
        <f>7*24*3600*1</f>
        <v>604800</v>
      </c>
      <c r="K426" s="12">
        <f>7*24*3600*2</f>
        <v>1209600</v>
      </c>
      <c r="L426" s="12">
        <f>7*24*3600*3</f>
        <v>1814400</v>
      </c>
      <c r="M426" s="12">
        <f>7*24*3600*4</f>
        <v>2419200</v>
      </c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"/>
      <c r="BF426" s="1"/>
      <c r="BG426" s="1"/>
      <c r="BH426" s="1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</row>
    <row r="427" spans="1:73" x14ac:dyDescent="0.25">
      <c r="A427" s="27">
        <v>43509</v>
      </c>
      <c r="B427" s="1" t="s">
        <v>100</v>
      </c>
      <c r="C427" s="1" t="s">
        <v>101</v>
      </c>
      <c r="D427" s="23">
        <v>1970</v>
      </c>
      <c r="E427" s="38">
        <v>1</v>
      </c>
      <c r="F427" s="23" t="s">
        <v>32</v>
      </c>
      <c r="G427" s="23" t="s">
        <v>444</v>
      </c>
      <c r="H427" s="23" t="s">
        <v>445</v>
      </c>
      <c r="I427" s="18">
        <f>4/5</f>
        <v>0.8</v>
      </c>
      <c r="J427" s="18">
        <f>2.7/5</f>
        <v>0.54</v>
      </c>
      <c r="K427" s="18">
        <f>1.9/5</f>
        <v>0.38</v>
      </c>
      <c r="L427" s="18">
        <f>1.8/5</f>
        <v>0.36</v>
      </c>
      <c r="M427" s="18">
        <f>0.85/5</f>
        <v>0.16999999999999998</v>
      </c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"/>
      <c r="BF427" s="1"/>
      <c r="BG427" s="1"/>
      <c r="BH427" s="1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</row>
    <row r="428" spans="1:73" x14ac:dyDescent="0.25">
      <c r="A428" s="30">
        <v>43509</v>
      </c>
      <c r="B428" s="32"/>
      <c r="C428" s="32"/>
      <c r="D428" s="31"/>
      <c r="E428" s="44"/>
      <c r="F428" s="31"/>
      <c r="G428" s="31"/>
      <c r="H428" s="31"/>
      <c r="I428" s="33">
        <v>15</v>
      </c>
      <c r="J428" s="33">
        <v>300</v>
      </c>
      <c r="K428" s="33">
        <v>900</v>
      </c>
      <c r="L428" s="33">
        <v>1800</v>
      </c>
      <c r="M428" s="33">
        <v>3600</v>
      </c>
      <c r="N428" s="33">
        <v>7200</v>
      </c>
      <c r="O428" s="33">
        <v>14400</v>
      </c>
      <c r="P428" s="33">
        <v>28800</v>
      </c>
      <c r="Q428" s="33">
        <v>43200</v>
      </c>
      <c r="R428" s="33">
        <v>86400</v>
      </c>
      <c r="S428" s="33">
        <v>172800</v>
      </c>
      <c r="T428" s="35">
        <v>345600</v>
      </c>
      <c r="U428" s="35">
        <v>604800</v>
      </c>
      <c r="V428" s="35">
        <v>3628800</v>
      </c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"/>
      <c r="BF428" s="1"/>
      <c r="BG428" s="1"/>
      <c r="BH428" s="1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</row>
    <row r="429" spans="1:73" x14ac:dyDescent="0.25">
      <c r="A429" s="30">
        <v>43509</v>
      </c>
      <c r="B429" s="32" t="s">
        <v>78</v>
      </c>
      <c r="C429" s="32" t="s">
        <v>79</v>
      </c>
      <c r="D429" s="31">
        <v>1913</v>
      </c>
      <c r="E429" s="44">
        <v>1</v>
      </c>
      <c r="F429" s="31" t="s">
        <v>318</v>
      </c>
      <c r="G429" s="31"/>
      <c r="H429" s="31" t="s">
        <v>12</v>
      </c>
      <c r="I429" s="35">
        <v>0.91650000000000009</v>
      </c>
      <c r="J429" s="35">
        <v>0.86</v>
      </c>
      <c r="K429" s="35">
        <v>0.80349999999999999</v>
      </c>
      <c r="L429" s="35">
        <v>0.79049999999999998</v>
      </c>
      <c r="M429" s="35">
        <v>0.77649999999999997</v>
      </c>
      <c r="N429" s="35">
        <v>0.72</v>
      </c>
      <c r="O429" s="35">
        <v>0.76</v>
      </c>
      <c r="P429" s="35">
        <v>0.72</v>
      </c>
      <c r="Q429" s="35">
        <v>0.71700000000000008</v>
      </c>
      <c r="R429" s="35">
        <v>0.64</v>
      </c>
      <c r="S429" s="35">
        <v>0.64649999999999996</v>
      </c>
      <c r="T429" s="35">
        <v>0.62930000000000008</v>
      </c>
      <c r="U429" s="35">
        <v>0.57050000000000001</v>
      </c>
      <c r="V429" s="35">
        <v>0.57499999999999996</v>
      </c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"/>
      <c r="BF429" s="1"/>
      <c r="BG429" s="1"/>
      <c r="BH429" s="1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</row>
    <row r="430" spans="1:73" x14ac:dyDescent="0.25">
      <c r="A430" s="30">
        <v>43897</v>
      </c>
      <c r="B430" s="29"/>
      <c r="C430" s="32"/>
      <c r="D430" s="31"/>
      <c r="E430" s="44"/>
      <c r="F430" s="31"/>
      <c r="G430" s="31"/>
      <c r="H430" s="31"/>
      <c r="I430" s="33">
        <v>157680000</v>
      </c>
      <c r="J430" s="33">
        <v>315360000</v>
      </c>
      <c r="K430" s="33">
        <v>473040000</v>
      </c>
      <c r="L430" s="33">
        <v>630720000</v>
      </c>
      <c r="M430" s="33">
        <v>788400000</v>
      </c>
      <c r="N430" s="33">
        <v>946080000</v>
      </c>
      <c r="O430" s="33">
        <v>1103760000</v>
      </c>
      <c r="P430" s="33">
        <v>1261440000</v>
      </c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"/>
      <c r="BF430" s="1"/>
      <c r="BG430" s="1"/>
      <c r="BH430" s="1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</row>
    <row r="431" spans="1:73" x14ac:dyDescent="0.25">
      <c r="A431" s="30">
        <v>43897</v>
      </c>
      <c r="B431" s="29" t="s">
        <v>252</v>
      </c>
      <c r="C431" s="29" t="s">
        <v>253</v>
      </c>
      <c r="D431" s="43">
        <v>1999</v>
      </c>
      <c r="E431" s="44">
        <v>1</v>
      </c>
      <c r="F431" s="31" t="s">
        <v>32</v>
      </c>
      <c r="G431" s="31" t="s">
        <v>197</v>
      </c>
      <c r="H431" s="31" t="s">
        <v>206</v>
      </c>
      <c r="I431" s="82">
        <v>0.6</v>
      </c>
      <c r="J431" s="82">
        <v>0.69</v>
      </c>
      <c r="K431" s="82">
        <v>0.6</v>
      </c>
      <c r="L431" s="82">
        <v>0.68</v>
      </c>
      <c r="M431" s="35">
        <v>0.68</v>
      </c>
      <c r="N431" s="35">
        <v>0.6</v>
      </c>
      <c r="O431" s="35">
        <v>0.63</v>
      </c>
      <c r="P431" s="35">
        <v>0.34</v>
      </c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"/>
      <c r="BF431" s="1"/>
      <c r="BG431" s="1"/>
      <c r="BH431" s="1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</row>
    <row r="432" spans="1:73" x14ac:dyDescent="0.25">
      <c r="A432" s="30">
        <v>43897</v>
      </c>
      <c r="B432" s="29"/>
      <c r="C432" s="32"/>
      <c r="D432" s="31"/>
      <c r="E432" s="44"/>
      <c r="F432" s="31"/>
      <c r="G432" s="31"/>
      <c r="H432" s="31"/>
      <c r="I432" s="33">
        <v>157680000</v>
      </c>
      <c r="J432" s="33">
        <v>315360000</v>
      </c>
      <c r="K432" s="33">
        <v>473040000</v>
      </c>
      <c r="L432" s="33">
        <v>630720000</v>
      </c>
      <c r="M432" s="33">
        <v>788400000</v>
      </c>
      <c r="N432" s="33">
        <v>946080000</v>
      </c>
      <c r="O432" s="33">
        <v>1103760000</v>
      </c>
      <c r="P432" s="33">
        <v>1261440000</v>
      </c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"/>
      <c r="BF432" s="1"/>
      <c r="BG432" s="1"/>
      <c r="BH432" s="1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</row>
    <row r="433" spans="1:73" x14ac:dyDescent="0.25">
      <c r="A433" s="30">
        <v>43897</v>
      </c>
      <c r="B433" s="29" t="s">
        <v>252</v>
      </c>
      <c r="C433" s="29" t="s">
        <v>253</v>
      </c>
      <c r="D433" s="43">
        <v>1999</v>
      </c>
      <c r="E433" s="44">
        <v>1</v>
      </c>
      <c r="F433" s="31" t="s">
        <v>32</v>
      </c>
      <c r="G433" s="31" t="s">
        <v>197</v>
      </c>
      <c r="H433" s="31" t="s">
        <v>206</v>
      </c>
      <c r="I433" s="82">
        <v>1</v>
      </c>
      <c r="J433" s="82">
        <v>0.93</v>
      </c>
      <c r="K433" s="82">
        <v>0.89</v>
      </c>
      <c r="L433" s="82">
        <v>0.93</v>
      </c>
      <c r="M433" s="35">
        <v>0.96</v>
      </c>
      <c r="N433" s="35">
        <v>0.88</v>
      </c>
      <c r="O433" s="35">
        <v>0.96</v>
      </c>
      <c r="P433" s="35">
        <v>0.63</v>
      </c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"/>
      <c r="BF433" s="1"/>
      <c r="BG433" s="1"/>
      <c r="BH433" s="1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</row>
    <row r="434" spans="1:73" x14ac:dyDescent="0.25">
      <c r="A434" s="30">
        <v>43509</v>
      </c>
      <c r="B434" s="48"/>
      <c r="C434" s="48"/>
      <c r="D434" s="46"/>
      <c r="E434" s="56"/>
      <c r="F434" s="46"/>
      <c r="G434" s="46"/>
      <c r="H434" s="46"/>
      <c r="I434" s="50">
        <f>24*3600*100</f>
        <v>8640000</v>
      </c>
      <c r="J434" s="50">
        <f>24*3600*200</f>
        <v>17280000</v>
      </c>
      <c r="K434" s="50">
        <f>24*3600*300</f>
        <v>25920000</v>
      </c>
      <c r="L434" s="50">
        <f>24*3600*400</f>
        <v>34560000</v>
      </c>
      <c r="M434" s="50">
        <f>24*3600*500</f>
        <v>43200000</v>
      </c>
      <c r="N434" s="50">
        <f>24*3600*600</f>
        <v>51840000</v>
      </c>
      <c r="O434" s="50">
        <f>24*3600*700</f>
        <v>60480000</v>
      </c>
      <c r="P434" s="50">
        <f>24*3600*800</f>
        <v>69120000</v>
      </c>
      <c r="Q434" s="50">
        <f>24*3600*900</f>
        <v>77760000</v>
      </c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5"/>
      <c r="BF434" s="5"/>
      <c r="BG434" s="5"/>
      <c r="BH434" s="5"/>
    </row>
    <row r="435" spans="1:73" x14ac:dyDescent="0.25">
      <c r="A435" s="30">
        <v>43509</v>
      </c>
      <c r="B435" s="48" t="s">
        <v>165</v>
      </c>
      <c r="C435" s="48" t="s">
        <v>81</v>
      </c>
      <c r="D435" s="46">
        <v>1996</v>
      </c>
      <c r="E435" s="56">
        <v>1</v>
      </c>
      <c r="F435" s="46" t="s">
        <v>446</v>
      </c>
      <c r="G435" s="46" t="s">
        <v>424</v>
      </c>
      <c r="H435" s="46" t="s">
        <v>375</v>
      </c>
      <c r="I435" s="49">
        <v>0.89</v>
      </c>
      <c r="J435" s="49">
        <v>0.91</v>
      </c>
      <c r="K435" s="49">
        <v>0.85</v>
      </c>
      <c r="L435" s="49">
        <v>0.83</v>
      </c>
      <c r="M435" s="59">
        <v>0.84</v>
      </c>
      <c r="N435" s="49">
        <v>0.8</v>
      </c>
      <c r="O435" s="49">
        <v>0.75</v>
      </c>
      <c r="P435" s="49">
        <v>0.74</v>
      </c>
      <c r="Q435" s="49">
        <v>0.72</v>
      </c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5"/>
      <c r="BF435" s="5"/>
      <c r="BG435" s="5"/>
      <c r="BH435" s="5"/>
    </row>
    <row r="436" spans="1:73" x14ac:dyDescent="0.25">
      <c r="A436" s="30">
        <v>43509</v>
      </c>
      <c r="B436" s="48"/>
      <c r="C436" s="48"/>
      <c r="D436" s="46"/>
      <c r="E436" s="56"/>
      <c r="F436" s="46"/>
      <c r="G436" s="46"/>
      <c r="H436" s="46"/>
      <c r="I436" s="50">
        <f>24*3600*100</f>
        <v>8640000</v>
      </c>
      <c r="J436" s="50">
        <f>24*3600*200</f>
        <v>17280000</v>
      </c>
      <c r="K436" s="50">
        <f>24*3600*300</f>
        <v>25920000</v>
      </c>
      <c r="L436" s="50">
        <f>24*3600*400</f>
        <v>34560000</v>
      </c>
      <c r="M436" s="50">
        <f>24*3600*500</f>
        <v>43200000</v>
      </c>
      <c r="N436" s="50">
        <f>24*3600*600</f>
        <v>51840000</v>
      </c>
      <c r="O436" s="50">
        <f>24*3600*700</f>
        <v>60480000</v>
      </c>
      <c r="P436" s="50">
        <f>24*3600*800</f>
        <v>69120000</v>
      </c>
      <c r="Q436" s="50">
        <f>24*3600*900</f>
        <v>77760000</v>
      </c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5"/>
      <c r="BF436" s="5"/>
      <c r="BG436" s="5"/>
      <c r="BH436" s="5"/>
    </row>
    <row r="437" spans="1:73" x14ac:dyDescent="0.25">
      <c r="A437" s="30">
        <v>43509</v>
      </c>
      <c r="B437" s="48" t="s">
        <v>165</v>
      </c>
      <c r="C437" s="48" t="s">
        <v>81</v>
      </c>
      <c r="D437" s="46">
        <v>1996</v>
      </c>
      <c r="E437" s="56">
        <v>1</v>
      </c>
      <c r="F437" s="46" t="s">
        <v>446</v>
      </c>
      <c r="G437" s="46" t="s">
        <v>425</v>
      </c>
      <c r="H437" s="46" t="s">
        <v>375</v>
      </c>
      <c r="I437" s="49">
        <v>0.89500000000000002</v>
      </c>
      <c r="J437" s="49">
        <v>0.88</v>
      </c>
      <c r="K437" s="49">
        <v>0.83</v>
      </c>
      <c r="L437" s="49">
        <v>0.82499999999999996</v>
      </c>
      <c r="M437" s="49">
        <v>0.79</v>
      </c>
      <c r="N437" s="49">
        <v>0.8</v>
      </c>
      <c r="O437" s="49">
        <v>0.75</v>
      </c>
      <c r="P437" s="49">
        <v>0.76</v>
      </c>
      <c r="Q437" s="49">
        <v>0.57999999999999996</v>
      </c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5"/>
      <c r="BF437" s="5"/>
      <c r="BG437" s="5"/>
      <c r="BH437" s="5"/>
    </row>
    <row r="438" spans="1:73" x14ac:dyDescent="0.25">
      <c r="A438" s="27">
        <v>43979</v>
      </c>
      <c r="B438" s="5"/>
      <c r="C438" s="5"/>
      <c r="D438" s="22"/>
      <c r="E438" s="37"/>
      <c r="F438" s="22"/>
      <c r="G438" s="22"/>
      <c r="H438" s="22"/>
      <c r="I438" s="16">
        <f>60*60*24*15</f>
        <v>1296000</v>
      </c>
      <c r="J438" s="16">
        <f>60*60*24*(365/2)</f>
        <v>15768000</v>
      </c>
      <c r="K438" s="16">
        <f>60*60*24*365*9</f>
        <v>283824000</v>
      </c>
      <c r="L438" s="16">
        <f>60*60*24*365*12</f>
        <v>378432000</v>
      </c>
      <c r="M438" s="16">
        <f>60*60*24*365*22</f>
        <v>693792000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5"/>
      <c r="BF438" s="5"/>
      <c r="BG438" s="5"/>
      <c r="BH438" s="5"/>
    </row>
    <row r="439" spans="1:73" x14ac:dyDescent="0.25">
      <c r="A439" s="27">
        <v>43979</v>
      </c>
      <c r="B439" s="5" t="s">
        <v>520</v>
      </c>
      <c r="C439" s="5" t="s">
        <v>243</v>
      </c>
      <c r="D439" s="22">
        <v>2011</v>
      </c>
      <c r="E439" s="37">
        <v>1</v>
      </c>
      <c r="F439" s="22" t="s">
        <v>438</v>
      </c>
      <c r="G439" s="22" t="s">
        <v>197</v>
      </c>
      <c r="H439" s="22" t="s">
        <v>375</v>
      </c>
      <c r="I439" s="2">
        <v>0.76182432432432001</v>
      </c>
      <c r="J439" s="2">
        <v>0.64020270270269997</v>
      </c>
      <c r="K439" s="2">
        <v>0.39898648648648649</v>
      </c>
      <c r="L439" s="2">
        <v>0.48108108108108094</v>
      </c>
      <c r="M439" s="2">
        <v>0.4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5"/>
      <c r="BF439" s="5"/>
      <c r="BG439" s="5"/>
      <c r="BH439" s="5"/>
    </row>
    <row r="440" spans="1:73" x14ac:dyDescent="0.25">
      <c r="A440" s="30">
        <v>43509</v>
      </c>
      <c r="B440" s="32"/>
      <c r="C440" s="32"/>
      <c r="D440" s="31"/>
      <c r="E440" s="44"/>
      <c r="F440" s="31"/>
      <c r="G440" s="31"/>
      <c r="H440" s="31"/>
      <c r="I440" s="33">
        <v>473</v>
      </c>
      <c r="J440" s="33">
        <f>7*24*3600*1</f>
        <v>604800</v>
      </c>
      <c r="K440" s="33">
        <f>7*24*3600*2</f>
        <v>1209600</v>
      </c>
      <c r="L440" s="18" t="s">
        <v>315</v>
      </c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"/>
      <c r="BF440" s="1"/>
      <c r="BG440" s="1"/>
      <c r="BH440" s="1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</row>
    <row r="441" spans="1:73" x14ac:dyDescent="0.25">
      <c r="A441" s="30">
        <v>43509</v>
      </c>
      <c r="B441" s="32" t="s">
        <v>102</v>
      </c>
      <c r="C441" s="32" t="s">
        <v>103</v>
      </c>
      <c r="D441" s="31">
        <v>2007</v>
      </c>
      <c r="E441" s="44">
        <v>1</v>
      </c>
      <c r="F441" s="31" t="s">
        <v>17</v>
      </c>
      <c r="G441" s="31"/>
      <c r="H441" s="31" t="s">
        <v>447</v>
      </c>
      <c r="I441" s="35">
        <v>0.6100000000000001</v>
      </c>
      <c r="J441" s="35">
        <v>0.58499999999999996</v>
      </c>
      <c r="K441" s="35">
        <v>0.57000000000000006</v>
      </c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"/>
      <c r="BF441" s="1"/>
      <c r="BG441" s="1"/>
      <c r="BH441" s="1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</row>
    <row r="442" spans="1:73" x14ac:dyDescent="0.25">
      <c r="A442" s="30">
        <v>43509</v>
      </c>
      <c r="B442" s="32"/>
      <c r="C442" s="32"/>
      <c r="D442" s="31"/>
      <c r="E442" s="44"/>
      <c r="F442" s="31"/>
      <c r="G442" s="31"/>
      <c r="H442" s="31"/>
      <c r="I442" s="33">
        <v>30</v>
      </c>
      <c r="J442" s="33">
        <f>3600*1</f>
        <v>3600</v>
      </c>
      <c r="K442" s="33">
        <f>3600*2</f>
        <v>7200</v>
      </c>
      <c r="L442" s="33">
        <f>3600*4</f>
        <v>14400</v>
      </c>
      <c r="M442" s="33">
        <f>3600*8</f>
        <v>28800</v>
      </c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"/>
      <c r="BF442" s="1"/>
      <c r="BG442" s="1"/>
      <c r="BH442" s="1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</row>
    <row r="443" spans="1:73" x14ac:dyDescent="0.25">
      <c r="A443" s="30">
        <v>43509</v>
      </c>
      <c r="B443" s="32" t="s">
        <v>159</v>
      </c>
      <c r="C443" s="32" t="s">
        <v>58</v>
      </c>
      <c r="D443" s="31">
        <v>1932</v>
      </c>
      <c r="E443" s="44">
        <v>1</v>
      </c>
      <c r="F443" s="31" t="s">
        <v>25</v>
      </c>
      <c r="G443" s="31" t="s">
        <v>373</v>
      </c>
      <c r="H443" s="31" t="s">
        <v>174</v>
      </c>
      <c r="I443" s="35">
        <v>1</v>
      </c>
      <c r="J443" s="35">
        <v>0.45200000000000001</v>
      </c>
      <c r="K443" s="35">
        <v>0.43099999999999999</v>
      </c>
      <c r="L443" s="35">
        <v>0.41299999999999998</v>
      </c>
      <c r="M443" s="35">
        <v>0.33700000000000002</v>
      </c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"/>
      <c r="BF443" s="1"/>
      <c r="BG443" s="1"/>
      <c r="BH443" s="1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</row>
    <row r="444" spans="1:73" x14ac:dyDescent="0.25">
      <c r="A444" s="30">
        <v>43509</v>
      </c>
      <c r="B444" s="32"/>
      <c r="C444" s="32"/>
      <c r="D444" s="31"/>
      <c r="E444" s="44"/>
      <c r="F444" s="31"/>
      <c r="G444" s="31"/>
      <c r="H444" s="31"/>
      <c r="I444" s="33">
        <v>30</v>
      </c>
      <c r="J444" s="33">
        <f>3600*1</f>
        <v>3600</v>
      </c>
      <c r="K444" s="33">
        <f>3600*2</f>
        <v>7200</v>
      </c>
      <c r="L444" s="33">
        <f>3600*4</f>
        <v>14400</v>
      </c>
      <c r="M444" s="33">
        <f>3600*8</f>
        <v>28800</v>
      </c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"/>
      <c r="BF444" s="1"/>
      <c r="BG444" s="1"/>
      <c r="BH444" s="1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</row>
    <row r="445" spans="1:73" x14ac:dyDescent="0.25">
      <c r="A445" s="30">
        <v>43509</v>
      </c>
      <c r="B445" s="32" t="s">
        <v>159</v>
      </c>
      <c r="C445" s="32" t="s">
        <v>58</v>
      </c>
      <c r="D445" s="31">
        <v>1932</v>
      </c>
      <c r="E445" s="44">
        <v>1</v>
      </c>
      <c r="F445" s="31" t="s">
        <v>25</v>
      </c>
      <c r="G445" s="31" t="s">
        <v>374</v>
      </c>
      <c r="H445" s="31" t="s">
        <v>174</v>
      </c>
      <c r="I445" s="35">
        <v>1</v>
      </c>
      <c r="J445" s="35">
        <v>0.441</v>
      </c>
      <c r="K445" s="35">
        <v>0.38500000000000001</v>
      </c>
      <c r="L445" s="35">
        <v>0.34100000000000003</v>
      </c>
      <c r="M445" s="35">
        <v>0.23899999999999999</v>
      </c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"/>
      <c r="BF445" s="1"/>
      <c r="BG445" s="1"/>
      <c r="BH445" s="1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</row>
    <row r="446" spans="1:73" x14ac:dyDescent="0.25">
      <c r="A446" s="27">
        <v>43896</v>
      </c>
      <c r="B446" s="1"/>
      <c r="C446" s="1"/>
      <c r="D446" s="23"/>
      <c r="E446" s="38"/>
      <c r="F446" s="23"/>
      <c r="G446" s="23"/>
      <c r="H446" s="23"/>
      <c r="I446" s="12">
        <v>473040000</v>
      </c>
      <c r="J446" s="12">
        <v>788400000</v>
      </c>
      <c r="K446" s="12">
        <v>1103760000</v>
      </c>
      <c r="L446" s="12">
        <v>1419120000</v>
      </c>
      <c r="M446" s="12">
        <v>1734480000</v>
      </c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"/>
      <c r="BF446" s="1"/>
      <c r="BG446" s="1"/>
      <c r="BH446" s="1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</row>
    <row r="447" spans="1:73" x14ac:dyDescent="0.25">
      <c r="A447" s="27">
        <v>43896</v>
      </c>
      <c r="B447" s="1" t="s">
        <v>219</v>
      </c>
      <c r="C447" s="1" t="s">
        <v>36</v>
      </c>
      <c r="D447" s="23">
        <v>1993</v>
      </c>
      <c r="E447" s="38">
        <v>1</v>
      </c>
      <c r="F447" s="23" t="s">
        <v>220</v>
      </c>
      <c r="G447" s="23" t="s">
        <v>197</v>
      </c>
      <c r="H447" s="23" t="s">
        <v>208</v>
      </c>
      <c r="I447" s="18">
        <v>0.6</v>
      </c>
      <c r="J447" s="18">
        <v>0.5</v>
      </c>
      <c r="K447" s="18">
        <v>0.5</v>
      </c>
      <c r="L447" s="18">
        <v>0.45454545454545459</v>
      </c>
      <c r="M447" s="18">
        <v>0.4464285714285714</v>
      </c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"/>
      <c r="BF447" s="1"/>
      <c r="BG447" s="1"/>
      <c r="BH447" s="1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</row>
    <row r="448" spans="1:73" x14ac:dyDescent="0.25">
      <c r="A448" s="27">
        <v>43896</v>
      </c>
      <c r="B448" s="1"/>
      <c r="C448" s="1"/>
      <c r="D448" s="23"/>
      <c r="E448" s="38"/>
      <c r="F448" s="23"/>
      <c r="G448" s="23"/>
      <c r="H448" s="23"/>
      <c r="I448" s="12">
        <v>157680000</v>
      </c>
      <c r="J448" s="12">
        <v>315360000</v>
      </c>
      <c r="K448" s="12">
        <v>473040000</v>
      </c>
      <c r="L448" s="12">
        <v>630720000</v>
      </c>
      <c r="M448" s="12">
        <v>788400000</v>
      </c>
      <c r="N448" s="12">
        <v>946080000</v>
      </c>
      <c r="O448" s="12">
        <v>1103760000</v>
      </c>
      <c r="P448" s="12">
        <v>1231440000</v>
      </c>
      <c r="Q448" s="12"/>
      <c r="R448" s="12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"/>
      <c r="BF448" s="1"/>
      <c r="BG448" s="1"/>
      <c r="BH448" s="1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</row>
    <row r="449" spans="1:73" x14ac:dyDescent="0.25">
      <c r="A449" s="27">
        <v>43896</v>
      </c>
      <c r="B449" s="1" t="s">
        <v>219</v>
      </c>
      <c r="C449" s="1" t="s">
        <v>36</v>
      </c>
      <c r="D449" s="23">
        <v>1993</v>
      </c>
      <c r="E449" s="38">
        <v>1</v>
      </c>
      <c r="F449" s="23" t="s">
        <v>220</v>
      </c>
      <c r="G449" s="23" t="s">
        <v>197</v>
      </c>
      <c r="H449" s="23" t="s">
        <v>206</v>
      </c>
      <c r="I449" s="18">
        <v>0.42</v>
      </c>
      <c r="J449" s="18">
        <v>0.5</v>
      </c>
      <c r="K449" s="18">
        <v>0.44</v>
      </c>
      <c r="L449" s="18">
        <v>0.32</v>
      </c>
      <c r="M449" s="18">
        <v>0.08</v>
      </c>
      <c r="N449" s="18">
        <v>0.14000000000000001</v>
      </c>
      <c r="O449" s="18">
        <v>0.08</v>
      </c>
      <c r="P449" s="18">
        <v>0.08</v>
      </c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"/>
      <c r="BF449" s="1"/>
      <c r="BG449" s="1"/>
      <c r="BH449" s="1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</row>
    <row r="450" spans="1:73" x14ac:dyDescent="0.25">
      <c r="A450" s="27">
        <v>43896</v>
      </c>
      <c r="B450" s="1"/>
      <c r="C450" s="1"/>
      <c r="D450" s="23"/>
      <c r="E450" s="38"/>
      <c r="F450" s="23"/>
      <c r="G450" s="23"/>
      <c r="H450" s="23"/>
      <c r="I450" s="12">
        <v>157680000</v>
      </c>
      <c r="J450" s="12">
        <v>315360000</v>
      </c>
      <c r="K450" s="12">
        <v>473040000</v>
      </c>
      <c r="L450" s="12">
        <v>630720000</v>
      </c>
      <c r="M450" s="12">
        <v>788400000</v>
      </c>
      <c r="N450" s="12">
        <v>946080000</v>
      </c>
      <c r="O450" s="12">
        <v>1103760000</v>
      </c>
      <c r="P450" s="12">
        <v>1231440000</v>
      </c>
      <c r="Q450" s="12"/>
      <c r="R450" s="12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"/>
      <c r="BF450" s="1"/>
      <c r="BG450" s="1"/>
      <c r="BH450" s="1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</row>
    <row r="451" spans="1:73" x14ac:dyDescent="0.25">
      <c r="A451" s="27">
        <v>43896</v>
      </c>
      <c r="B451" s="1" t="s">
        <v>219</v>
      </c>
      <c r="C451" s="1" t="s">
        <v>36</v>
      </c>
      <c r="D451" s="23">
        <v>1993</v>
      </c>
      <c r="E451" s="38">
        <v>1</v>
      </c>
      <c r="F451" s="23" t="s">
        <v>220</v>
      </c>
      <c r="G451" s="23" t="s">
        <v>197</v>
      </c>
      <c r="H451" s="23" t="s">
        <v>206</v>
      </c>
      <c r="I451" s="18">
        <v>0.92</v>
      </c>
      <c r="J451" s="18">
        <v>0.88</v>
      </c>
      <c r="K451" s="18">
        <v>0.78</v>
      </c>
      <c r="L451" s="18">
        <v>0.66</v>
      </c>
      <c r="M451" s="18">
        <v>0.68</v>
      </c>
      <c r="N451" s="18">
        <v>0.7</v>
      </c>
      <c r="O451" s="18">
        <v>0.66</v>
      </c>
      <c r="P451" s="18">
        <v>0.62</v>
      </c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"/>
      <c r="BF451" s="1"/>
      <c r="BG451" s="1"/>
      <c r="BH451" s="1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</row>
    <row r="452" spans="1:73" x14ac:dyDescent="0.25">
      <c r="A452" s="27">
        <v>43896</v>
      </c>
      <c r="B452" s="1"/>
      <c r="C452" s="1"/>
      <c r="D452" s="23"/>
      <c r="E452" s="38"/>
      <c r="F452" s="23"/>
      <c r="G452" s="23"/>
      <c r="H452" s="23"/>
      <c r="I452" s="12">
        <v>157680000</v>
      </c>
      <c r="J452" s="12">
        <v>315360000</v>
      </c>
      <c r="K452" s="12">
        <v>473040000</v>
      </c>
      <c r="L452" s="12">
        <v>630720000</v>
      </c>
      <c r="M452" s="12">
        <v>788400000</v>
      </c>
      <c r="N452" s="12">
        <v>946080000</v>
      </c>
      <c r="O452" s="12">
        <v>1103760000</v>
      </c>
      <c r="P452" s="12">
        <v>1231440000</v>
      </c>
      <c r="Q452" s="12">
        <v>1419120000</v>
      </c>
      <c r="R452" s="12">
        <v>1576800000</v>
      </c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"/>
      <c r="BF452" s="1"/>
      <c r="BG452" s="1"/>
      <c r="BH452" s="1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</row>
    <row r="453" spans="1:73" x14ac:dyDescent="0.25">
      <c r="A453" s="27">
        <v>43896</v>
      </c>
      <c r="B453" s="1" t="s">
        <v>219</v>
      </c>
      <c r="C453" s="1" t="s">
        <v>36</v>
      </c>
      <c r="D453" s="23">
        <v>1993</v>
      </c>
      <c r="E453" s="38">
        <v>1</v>
      </c>
      <c r="F453" s="23" t="s">
        <v>220</v>
      </c>
      <c r="G453" s="23" t="s">
        <v>197</v>
      </c>
      <c r="H453" s="23" t="s">
        <v>206</v>
      </c>
      <c r="I453" s="18">
        <v>0.77500000000000002</v>
      </c>
      <c r="J453" s="18">
        <v>0.77500000000000002</v>
      </c>
      <c r="K453" s="18">
        <v>0.72499999999999998</v>
      </c>
      <c r="L453" s="18">
        <v>0.42499999999999999</v>
      </c>
      <c r="M453" s="18">
        <v>0.55000000000000004</v>
      </c>
      <c r="N453" s="18">
        <v>0.47499999999999998</v>
      </c>
      <c r="O453" s="18">
        <v>0.55000000000000004</v>
      </c>
      <c r="P453" s="18">
        <v>0.32500000000000001</v>
      </c>
      <c r="Q453" s="18">
        <v>0.27500000000000002</v>
      </c>
      <c r="R453" s="18">
        <v>0.25</v>
      </c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"/>
      <c r="BF453" s="1"/>
      <c r="BG453" s="1"/>
      <c r="BH453" s="1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</row>
    <row r="454" spans="1:73" x14ac:dyDescent="0.25">
      <c r="A454" s="30">
        <v>43509</v>
      </c>
      <c r="B454" s="32"/>
      <c r="C454" s="32"/>
      <c r="D454" s="31"/>
      <c r="E454" s="44"/>
      <c r="F454" s="31"/>
      <c r="G454" s="31"/>
      <c r="H454" s="31"/>
      <c r="I454" s="33">
        <f>(365*24*60*60)/2</f>
        <v>15768000</v>
      </c>
      <c r="J454" s="33">
        <f>365*24*60*60</f>
        <v>31536000</v>
      </c>
      <c r="K454" s="33">
        <f>365*24*60*60*1.5</f>
        <v>47304000</v>
      </c>
      <c r="L454" s="33">
        <f>365*24*60*60*2</f>
        <v>63072000</v>
      </c>
      <c r="M454" s="33">
        <f>365*24*60*60*2.5</f>
        <v>78840000</v>
      </c>
      <c r="N454" s="33">
        <f>365*24*60*60*3</f>
        <v>94608000</v>
      </c>
      <c r="O454" s="33">
        <f>365*24*60*60*3.5</f>
        <v>110376000</v>
      </c>
      <c r="P454" s="33">
        <f>365*24*60*60*4</f>
        <v>126144000</v>
      </c>
      <c r="Q454" s="33">
        <f>365*24*60*60*4.5</f>
        <v>141912000</v>
      </c>
      <c r="R454" s="33">
        <f>365*24*60*60*5</f>
        <v>157680000</v>
      </c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"/>
      <c r="BF454" s="1"/>
      <c r="BG454" s="1"/>
      <c r="BH454" s="1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</row>
    <row r="455" spans="1:73" x14ac:dyDescent="0.25">
      <c r="A455" s="30">
        <v>43509</v>
      </c>
      <c r="B455" s="32" t="s">
        <v>141</v>
      </c>
      <c r="C455" s="32" t="s">
        <v>142</v>
      </c>
      <c r="D455" s="31">
        <v>1986</v>
      </c>
      <c r="E455" s="44">
        <v>1</v>
      </c>
      <c r="F455" s="31" t="s">
        <v>25</v>
      </c>
      <c r="G455" s="31"/>
      <c r="H455" s="31" t="s">
        <v>375</v>
      </c>
      <c r="I455" s="35">
        <v>0.7</v>
      </c>
      <c r="J455" s="35">
        <v>0.51</v>
      </c>
      <c r="K455" s="35">
        <v>0.46</v>
      </c>
      <c r="L455" s="35">
        <v>0.42</v>
      </c>
      <c r="M455" s="35">
        <v>0.42</v>
      </c>
      <c r="N455" s="35">
        <v>0.39</v>
      </c>
      <c r="O455" s="35">
        <v>0.35</v>
      </c>
      <c r="P455" s="35">
        <v>0.33</v>
      </c>
      <c r="Q455" s="35">
        <v>0.33</v>
      </c>
      <c r="R455" s="35">
        <v>0.3</v>
      </c>
      <c r="S455" s="18">
        <f>AVERAGE(I455:R455)</f>
        <v>0.42099999999999999</v>
      </c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"/>
      <c r="BF455" s="1"/>
      <c r="BG455" s="1"/>
      <c r="BH455" s="1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</row>
    <row r="456" spans="1:73" x14ac:dyDescent="0.25">
      <c r="A456" s="27">
        <v>43509</v>
      </c>
      <c r="B456" s="1"/>
      <c r="C456" s="1"/>
      <c r="D456" s="23"/>
      <c r="E456" s="38"/>
      <c r="F456" s="23"/>
      <c r="G456" s="23"/>
      <c r="H456" s="23"/>
      <c r="I456" s="12">
        <f>2*60</f>
        <v>120</v>
      </c>
      <c r="J456" s="12">
        <f>45*60</f>
        <v>2700</v>
      </c>
      <c r="K456" s="12">
        <f>24*3600*7</f>
        <v>604800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"/>
      <c r="BF456" s="1"/>
      <c r="BG456" s="1"/>
      <c r="BH456" s="1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</row>
    <row r="457" spans="1:73" x14ac:dyDescent="0.25">
      <c r="A457" s="27">
        <v>43509</v>
      </c>
      <c r="B457" s="1" t="s">
        <v>80</v>
      </c>
      <c r="C457" s="1" t="s">
        <v>40</v>
      </c>
      <c r="D457" s="23">
        <v>1963</v>
      </c>
      <c r="E457" s="38">
        <v>1</v>
      </c>
      <c r="F457" s="23" t="s">
        <v>32</v>
      </c>
      <c r="G457" s="23" t="s">
        <v>422</v>
      </c>
      <c r="H457" s="23" t="s">
        <v>61</v>
      </c>
      <c r="I457" s="18">
        <v>0.26</v>
      </c>
      <c r="J457" s="18">
        <v>0.21</v>
      </c>
      <c r="K457" s="18">
        <v>0.23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"/>
      <c r="BF457" s="1"/>
      <c r="BG457" s="1"/>
      <c r="BH457" s="1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</row>
    <row r="458" spans="1:73" x14ac:dyDescent="0.25">
      <c r="A458" s="30">
        <v>43509</v>
      </c>
      <c r="B458" s="32"/>
      <c r="C458" s="32"/>
      <c r="D458" s="31"/>
      <c r="E458" s="44"/>
      <c r="F458" s="31"/>
      <c r="G458" s="31"/>
      <c r="H458" s="31"/>
      <c r="I458" s="33">
        <f>2*24*60*60</f>
        <v>172800</v>
      </c>
      <c r="J458" s="33">
        <f>7*24*60*60</f>
        <v>604800</v>
      </c>
      <c r="K458" s="33">
        <f>30*24*60*60</f>
        <v>2592000</v>
      </c>
      <c r="L458" s="33">
        <f>91*24*60*60</f>
        <v>7862400</v>
      </c>
      <c r="M458" s="33">
        <f>365*24*60*60</f>
        <v>31536000</v>
      </c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"/>
      <c r="BF458" s="1"/>
      <c r="BG458" s="1"/>
      <c r="BH458" s="1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</row>
    <row r="459" spans="1:73" x14ac:dyDescent="0.25">
      <c r="A459" s="30">
        <v>43509</v>
      </c>
      <c r="B459" s="32" t="s">
        <v>121</v>
      </c>
      <c r="C459" s="32" t="s">
        <v>56</v>
      </c>
      <c r="D459" s="31">
        <v>2004</v>
      </c>
      <c r="E459" s="44">
        <v>1</v>
      </c>
      <c r="F459" s="31" t="s">
        <v>25</v>
      </c>
      <c r="G459" s="31"/>
      <c r="H459" s="31" t="s">
        <v>417</v>
      </c>
      <c r="I459" s="35">
        <v>1</v>
      </c>
      <c r="J459" s="35">
        <v>0.96</v>
      </c>
      <c r="K459" s="35">
        <v>0.871</v>
      </c>
      <c r="L459" s="35">
        <v>0.88</v>
      </c>
      <c r="M459" s="35">
        <v>0.81100000000000005</v>
      </c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"/>
      <c r="BF459" s="1"/>
      <c r="BG459" s="1"/>
      <c r="BH459" s="1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</row>
    <row r="460" spans="1:73" x14ac:dyDescent="0.25">
      <c r="A460" s="27">
        <v>43509</v>
      </c>
      <c r="B460" s="5"/>
      <c r="C460" s="5"/>
      <c r="D460" s="22"/>
      <c r="H460" s="22"/>
      <c r="I460" s="16">
        <v>300</v>
      </c>
      <c r="J460" s="16">
        <v>1200</v>
      </c>
      <c r="K460" s="16">
        <v>3600</v>
      </c>
      <c r="L460" s="16">
        <v>86400</v>
      </c>
      <c r="M460" s="16">
        <v>172800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5"/>
      <c r="BF460" s="5"/>
      <c r="BG460" s="5"/>
      <c r="BH460" s="5"/>
    </row>
    <row r="461" spans="1:73" x14ac:dyDescent="0.25">
      <c r="A461" s="27">
        <v>43509</v>
      </c>
      <c r="B461" s="5" t="s">
        <v>492</v>
      </c>
      <c r="C461" s="5" t="s">
        <v>56</v>
      </c>
      <c r="D461" s="22">
        <v>1926</v>
      </c>
      <c r="E461" s="39">
        <v>1</v>
      </c>
      <c r="F461" s="22" t="s">
        <v>24</v>
      </c>
      <c r="G461" s="26" t="s">
        <v>458</v>
      </c>
      <c r="H461" s="22" t="s">
        <v>437</v>
      </c>
      <c r="I461" s="2">
        <v>0.71</v>
      </c>
      <c r="J461" s="2">
        <v>0.755</v>
      </c>
      <c r="K461" s="2">
        <v>0.65999999999999992</v>
      </c>
      <c r="L461" s="2">
        <v>0.62</v>
      </c>
      <c r="M461" s="2">
        <v>0.64</v>
      </c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5"/>
      <c r="BF461" s="5"/>
      <c r="BG461" s="5"/>
      <c r="BH461" s="5"/>
    </row>
    <row r="462" spans="1:73" x14ac:dyDescent="0.25">
      <c r="A462" s="27">
        <v>43509</v>
      </c>
      <c r="B462" s="5"/>
      <c r="C462" s="5"/>
      <c r="D462" s="22"/>
      <c r="F462" s="22"/>
      <c r="H462" s="22"/>
      <c r="I462" s="16">
        <v>300</v>
      </c>
      <c r="J462" s="16">
        <v>1200</v>
      </c>
      <c r="K462" s="16">
        <v>3600</v>
      </c>
      <c r="L462" s="16">
        <v>28800</v>
      </c>
      <c r="M462" s="16">
        <v>86400</v>
      </c>
      <c r="N462" s="16">
        <v>172800</v>
      </c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5"/>
      <c r="BF462" s="5"/>
      <c r="BG462" s="5"/>
      <c r="BH462" s="5"/>
    </row>
    <row r="463" spans="1:73" x14ac:dyDescent="0.25">
      <c r="A463" s="27">
        <v>43509</v>
      </c>
      <c r="B463" s="5" t="s">
        <v>492</v>
      </c>
      <c r="C463" s="5" t="s">
        <v>56</v>
      </c>
      <c r="D463" s="22">
        <v>1926</v>
      </c>
      <c r="E463" s="39">
        <v>2</v>
      </c>
      <c r="F463" s="22" t="s">
        <v>24</v>
      </c>
      <c r="G463" s="26" t="s">
        <v>459</v>
      </c>
      <c r="H463" s="22" t="s">
        <v>437</v>
      </c>
      <c r="I463" s="2">
        <v>0.73199999999999998</v>
      </c>
      <c r="J463" s="2">
        <v>0.73649999999999993</v>
      </c>
      <c r="K463" s="2">
        <v>0.71799999999999997</v>
      </c>
      <c r="L463" s="2">
        <v>0.69</v>
      </c>
      <c r="M463" s="2">
        <v>0.71450000000000002</v>
      </c>
      <c r="N463" s="2">
        <v>0.66700000000000004</v>
      </c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5"/>
      <c r="BF463" s="5"/>
      <c r="BG463" s="5"/>
      <c r="BH463" s="5"/>
    </row>
    <row r="464" spans="1:73" x14ac:dyDescent="0.25">
      <c r="A464" s="27">
        <v>43509</v>
      </c>
      <c r="B464" s="5"/>
      <c r="C464" s="5"/>
      <c r="D464" s="22"/>
      <c r="F464" s="22"/>
      <c r="H464" s="22"/>
      <c r="I464" s="16">
        <v>300</v>
      </c>
      <c r="J464" s="16">
        <v>1200</v>
      </c>
      <c r="K464" s="16">
        <v>3600</v>
      </c>
      <c r="L464" s="16">
        <v>28800</v>
      </c>
      <c r="M464" s="16">
        <v>86400</v>
      </c>
      <c r="N464" s="16">
        <v>172800</v>
      </c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5"/>
      <c r="BF464" s="5"/>
      <c r="BG464" s="5"/>
      <c r="BH464" s="5"/>
    </row>
    <row r="465" spans="1:60" x14ac:dyDescent="0.25">
      <c r="A465" s="27">
        <v>43509</v>
      </c>
      <c r="B465" s="5" t="s">
        <v>492</v>
      </c>
      <c r="C465" s="5" t="s">
        <v>56</v>
      </c>
      <c r="D465" s="22">
        <v>1926</v>
      </c>
      <c r="E465" s="39">
        <v>2</v>
      </c>
      <c r="F465" s="22" t="s">
        <v>24</v>
      </c>
      <c r="G465" s="26" t="s">
        <v>460</v>
      </c>
      <c r="H465" s="22" t="s">
        <v>437</v>
      </c>
      <c r="I465" s="2">
        <v>0.66600000000000004</v>
      </c>
      <c r="J465" s="2">
        <v>0.71099999999999997</v>
      </c>
      <c r="K465" s="2">
        <v>0.6</v>
      </c>
      <c r="L465" s="2">
        <v>0.65149999999999997</v>
      </c>
      <c r="M465" s="2">
        <v>0.66</v>
      </c>
      <c r="N465" s="2">
        <v>0.65449999999999997</v>
      </c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5"/>
      <c r="BF465" s="5"/>
      <c r="BG465" s="5"/>
      <c r="BH465" s="5"/>
    </row>
    <row r="466" spans="1:60" x14ac:dyDescent="0.25">
      <c r="A466" s="27">
        <v>43509</v>
      </c>
      <c r="B466" s="5"/>
      <c r="C466" s="5"/>
      <c r="D466" s="22"/>
      <c r="F466" s="22"/>
      <c r="H466" s="22"/>
      <c r="I466" s="16">
        <v>300</v>
      </c>
      <c r="J466" s="16">
        <v>1200</v>
      </c>
      <c r="K466" s="16">
        <v>3600</v>
      </c>
      <c r="L466" s="16">
        <v>28800</v>
      </c>
      <c r="M466" s="16">
        <v>86400</v>
      </c>
      <c r="N466" s="16">
        <v>172800</v>
      </c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5"/>
      <c r="BF466" s="5"/>
      <c r="BG466" s="5"/>
      <c r="BH466" s="5"/>
    </row>
    <row r="467" spans="1:60" x14ac:dyDescent="0.25">
      <c r="A467" s="27">
        <v>43509</v>
      </c>
      <c r="B467" s="5" t="s">
        <v>492</v>
      </c>
      <c r="C467" s="5" t="s">
        <v>56</v>
      </c>
      <c r="D467" s="22">
        <v>1926</v>
      </c>
      <c r="E467" s="39">
        <v>3</v>
      </c>
      <c r="F467" s="22" t="s">
        <v>20</v>
      </c>
      <c r="H467" s="22" t="s">
        <v>437</v>
      </c>
      <c r="I467" s="2">
        <v>0.76550000000000007</v>
      </c>
      <c r="J467" s="2">
        <v>0.6855</v>
      </c>
      <c r="K467" s="2">
        <v>0.62</v>
      </c>
      <c r="L467" s="2">
        <v>0.59600000000000009</v>
      </c>
      <c r="M467" s="2">
        <v>0.65800000000000003</v>
      </c>
      <c r="N467" s="2">
        <v>0.60600000000000009</v>
      </c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5"/>
      <c r="BF467" s="5"/>
      <c r="BG467" s="5"/>
      <c r="BH467" s="5"/>
    </row>
  </sheetData>
  <conditionalFormatting sqref="E324:H324 E446:H446 E332:G332 E334:G334 E448:G448 E450:G450 E404:G404 E420:G420 E422:G422 E452:G452 E54:G54 E64:G64 E228:G228 E230:G230 E232:G232 E236:G236 B2:H2 B110:H110 E414:G414 B4:H4 E330:G330 E328:G328">
    <cfRule type="expression" dxfId="38" priority="83">
      <formula>MOD(ROW(),2)=1</formula>
    </cfRule>
  </conditionalFormatting>
  <conditionalFormatting sqref="H2">
    <cfRule type="expression" dxfId="37" priority="74">
      <formula>MOD(ROW(),2)=1</formula>
    </cfRule>
  </conditionalFormatting>
  <conditionalFormatting sqref="H54">
    <cfRule type="expression" dxfId="36" priority="73">
      <formula>MOD(ROW(),2)=1</formula>
    </cfRule>
  </conditionalFormatting>
  <conditionalFormatting sqref="H64 H66 H68">
    <cfRule type="expression" dxfId="35" priority="71">
      <formula>MOD(ROW(),2)=1</formula>
    </cfRule>
  </conditionalFormatting>
  <conditionalFormatting sqref="G66 G68">
    <cfRule type="expression" dxfId="34" priority="70">
      <formula>MOD(ROW(),2)=1</formula>
    </cfRule>
  </conditionalFormatting>
  <conditionalFormatting sqref="H118">
    <cfRule type="expression" dxfId="33" priority="69">
      <formula>MOD(ROW(),2)=1</formula>
    </cfRule>
  </conditionalFormatting>
  <conditionalFormatting sqref="H120">
    <cfRule type="expression" dxfId="32" priority="68">
      <formula>MOD(ROW(),2)=1</formula>
    </cfRule>
  </conditionalFormatting>
  <conditionalFormatting sqref="H228 H230 H232">
    <cfRule type="expression" dxfId="31" priority="62">
      <formula>MOD(ROW(),2)=1</formula>
    </cfRule>
  </conditionalFormatting>
  <conditionalFormatting sqref="H236">
    <cfRule type="expression" dxfId="30" priority="61">
      <formula>MOD(ROW(),2)=1</formula>
    </cfRule>
  </conditionalFormatting>
  <conditionalFormatting sqref="H450">
    <cfRule type="expression" dxfId="29" priority="57">
      <formula>MOD(ROW(),2)=1</formula>
    </cfRule>
  </conditionalFormatting>
  <conditionalFormatting sqref="H332 G328:H328 G330:H330 H334">
    <cfRule type="expression" dxfId="28" priority="54">
      <formula>MOD(ROW(),2)=1</formula>
    </cfRule>
  </conditionalFormatting>
  <conditionalFormatting sqref="H448">
    <cfRule type="expression" dxfId="27" priority="58">
      <formula>MOD(ROW(),2)=1</formula>
    </cfRule>
  </conditionalFormatting>
  <conditionalFormatting sqref="H360">
    <cfRule type="expression" dxfId="26" priority="53">
      <formula>MOD(ROW(),2)=1</formula>
    </cfRule>
  </conditionalFormatting>
  <conditionalFormatting sqref="H392">
    <cfRule type="expression" dxfId="25" priority="52">
      <formula>MOD(ROW(),2)=1</formula>
    </cfRule>
  </conditionalFormatting>
  <conditionalFormatting sqref="G4:H4">
    <cfRule type="expression" dxfId="24" priority="34">
      <formula>MOD(ROW(),2)=1</formula>
    </cfRule>
  </conditionalFormatting>
  <conditionalFormatting sqref="H452">
    <cfRule type="expression" dxfId="23" priority="33">
      <formula>MOD(ROW(),2)=1</formula>
    </cfRule>
  </conditionalFormatting>
  <conditionalFormatting sqref="F4:G4">
    <cfRule type="expression" dxfId="22" priority="24">
      <formula>MOD(ROW(),2)=1</formula>
    </cfRule>
  </conditionalFormatting>
  <conditionalFormatting sqref="F48:G48">
    <cfRule type="expression" dxfId="21" priority="21">
      <formula>MOD(ROW(),2)=1</formula>
    </cfRule>
  </conditionalFormatting>
  <conditionalFormatting sqref="F50:G50">
    <cfRule type="expression" dxfId="20" priority="20">
      <formula>MOD(ROW(),2)=1</formula>
    </cfRule>
  </conditionalFormatting>
  <conditionalFormatting sqref="G62">
    <cfRule type="expression" dxfId="19" priority="18">
      <formula>MOD(ROW(),2)=1</formula>
    </cfRule>
  </conditionalFormatting>
  <conditionalFormatting sqref="H358">
    <cfRule type="expression" dxfId="18" priority="11">
      <formula>MOD(ROW(),2)=1</formula>
    </cfRule>
  </conditionalFormatting>
  <conditionalFormatting sqref="G358">
    <cfRule type="expression" dxfId="17" priority="10">
      <formula>MOD(ROW(),2)=1</formula>
    </cfRule>
  </conditionalFormatting>
  <conditionalFormatting sqref="G414">
    <cfRule type="expression" dxfId="16" priority="9">
      <formula>MOD(ROW(),2)=1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N90"/>
  <sheetViews>
    <sheetView workbookViewId="0">
      <pane ySplit="1" topLeftCell="A83" activePane="bottomLeft" state="frozen"/>
      <selection activeCell="Y1" sqref="Y1"/>
      <selection pane="bottomLeft" activeCell="AG87" sqref="AG87"/>
    </sheetView>
  </sheetViews>
  <sheetFormatPr defaultColWidth="5.28515625" defaultRowHeight="15" x14ac:dyDescent="0.25"/>
  <cols>
    <col min="1" max="1" width="13.85546875" style="24" customWidth="1"/>
    <col min="2" max="2" width="21.42578125" style="4" customWidth="1"/>
    <col min="3" max="3" width="13.85546875" style="4" customWidth="1"/>
    <col min="4" max="4" width="12" style="26" customWidth="1"/>
    <col min="5" max="5" width="4.85546875" style="39" hidden="1" customWidth="1"/>
    <col min="6" max="7" width="12" style="26" hidden="1" customWidth="1"/>
    <col min="8" max="8" width="14.85546875" style="26" hidden="1" customWidth="1"/>
    <col min="9" max="9" width="30.5703125" style="26" hidden="1" customWidth="1"/>
    <col min="10" max="10" width="17.28515625" style="26" hidden="1" customWidth="1"/>
    <col min="11" max="11" width="10.7109375" style="26" hidden="1" customWidth="1"/>
    <col min="12" max="12" width="11.28515625" style="26" hidden="1" customWidth="1"/>
    <col min="13" max="13" width="11.42578125" style="26" hidden="1" customWidth="1"/>
    <col min="14" max="14" width="16.28515625" style="26" hidden="1" customWidth="1"/>
    <col min="15" max="15" width="10.28515625" style="26" hidden="1" customWidth="1"/>
    <col min="16" max="16" width="22.7109375" style="26" hidden="1" customWidth="1"/>
    <col min="17" max="17" width="18.28515625" style="26" hidden="1" customWidth="1"/>
    <col min="18" max="18" width="10.140625" style="26" hidden="1" customWidth="1"/>
    <col min="19" max="19" width="11.42578125" style="26" hidden="1" customWidth="1"/>
    <col min="20" max="20" width="7.7109375" style="26" hidden="1" customWidth="1"/>
    <col min="21" max="22" width="12.140625" style="26" hidden="1" customWidth="1"/>
    <col min="23" max="23" width="13.85546875" style="26" customWidth="1"/>
    <col min="24" max="24" width="12" style="26" customWidth="1"/>
    <col min="25" max="25" width="12" style="39" customWidth="1"/>
    <col min="26" max="26" width="18.28515625" style="26" customWidth="1"/>
    <col min="27" max="27" width="12" style="26" customWidth="1"/>
    <col min="28" max="28" width="19.7109375" style="26" customWidth="1"/>
    <col min="29" max="29" width="13.5703125" style="26" customWidth="1"/>
    <col min="30" max="30" width="15.7109375" style="26" customWidth="1"/>
    <col min="31" max="31" width="12" style="26" customWidth="1"/>
    <col min="32" max="32" width="14.85546875" style="42" customWidth="1"/>
    <col min="33" max="33" width="11.7109375" style="20" customWidth="1"/>
    <col min="97" max="117" width="10.42578125" style="4" bestFit="1" customWidth="1"/>
    <col min="118" max="16384" width="5.28515625" style="4"/>
  </cols>
  <sheetData>
    <row r="1" spans="1:118" s="79" customFormat="1" ht="12" customHeight="1" x14ac:dyDescent="0.2">
      <c r="A1" s="71" t="s">
        <v>184</v>
      </c>
      <c r="B1" s="72" t="s">
        <v>0</v>
      </c>
      <c r="C1" s="72" t="s">
        <v>1</v>
      </c>
      <c r="D1" s="73" t="s">
        <v>2</v>
      </c>
      <c r="E1" s="74" t="s">
        <v>341</v>
      </c>
      <c r="F1" s="73" t="s">
        <v>6</v>
      </c>
      <c r="G1" s="73" t="s">
        <v>299</v>
      </c>
      <c r="H1" s="73" t="s">
        <v>1</v>
      </c>
      <c r="I1" s="73" t="s">
        <v>8</v>
      </c>
      <c r="J1" s="73" t="s">
        <v>7</v>
      </c>
      <c r="K1" s="73" t="s">
        <v>337</v>
      </c>
      <c r="L1" s="73" t="s">
        <v>332</v>
      </c>
      <c r="M1" s="73" t="s">
        <v>335</v>
      </c>
      <c r="N1" s="73" t="s">
        <v>333</v>
      </c>
      <c r="O1" s="73" t="s">
        <v>5</v>
      </c>
      <c r="P1" s="73" t="s">
        <v>336</v>
      </c>
      <c r="Q1" s="73" t="s">
        <v>3</v>
      </c>
      <c r="R1" s="73" t="s">
        <v>334</v>
      </c>
      <c r="S1" s="73" t="s">
        <v>4</v>
      </c>
      <c r="T1" s="73" t="s">
        <v>149</v>
      </c>
      <c r="U1" s="73" t="s">
        <v>493</v>
      </c>
      <c r="V1" s="73" t="s">
        <v>330</v>
      </c>
      <c r="W1" s="73" t="s">
        <v>331</v>
      </c>
      <c r="X1" s="73" t="s">
        <v>338</v>
      </c>
      <c r="Y1" s="74" t="s">
        <v>325</v>
      </c>
      <c r="Z1" s="73" t="s">
        <v>339</v>
      </c>
      <c r="AA1" s="73" t="s">
        <v>195</v>
      </c>
      <c r="AB1" s="73" t="s">
        <v>193</v>
      </c>
      <c r="AC1" s="73" t="s">
        <v>194</v>
      </c>
      <c r="AD1" s="73" t="s">
        <v>340</v>
      </c>
      <c r="AE1" s="73" t="s">
        <v>326</v>
      </c>
      <c r="AF1" s="75" t="s">
        <v>327</v>
      </c>
      <c r="AG1" s="76" t="s">
        <v>317</v>
      </c>
    </row>
    <row r="2" spans="1:118" s="79" customFormat="1" ht="12" customHeight="1" x14ac:dyDescent="0.2">
      <c r="A2" s="89" t="s">
        <v>542</v>
      </c>
      <c r="B2" s="72"/>
      <c r="C2" s="72"/>
      <c r="D2" s="73"/>
      <c r="E2" s="74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4"/>
      <c r="Z2" s="73"/>
      <c r="AA2" s="73"/>
      <c r="AB2" s="73"/>
      <c r="AC2" s="73"/>
      <c r="AD2" s="73"/>
      <c r="AE2" s="73"/>
      <c r="AF2" s="75"/>
      <c r="AG2" s="76"/>
    </row>
    <row r="3" spans="1:118" s="3" customFormat="1" ht="12" customHeight="1" x14ac:dyDescent="0.2">
      <c r="A3" s="27">
        <v>43509</v>
      </c>
      <c r="B3" s="1" t="s">
        <v>68</v>
      </c>
      <c r="C3" s="1" t="s">
        <v>69</v>
      </c>
      <c r="D3" s="23">
        <v>1992</v>
      </c>
      <c r="E3" s="38">
        <v>1</v>
      </c>
      <c r="F3" s="23">
        <v>20</v>
      </c>
      <c r="G3" s="23">
        <v>20</v>
      </c>
      <c r="H3" s="23" t="s">
        <v>24</v>
      </c>
      <c r="I3" s="23" t="s">
        <v>399</v>
      </c>
      <c r="J3" s="23" t="s">
        <v>12</v>
      </c>
      <c r="K3" s="23">
        <f t="shared" ref="K3:K67" si="0">IF(J3="syllables",1,IF(J3="trigrams",2,IF(J3="strings",3,IF(J3="visual array",4,IF(J3="characters",5,IF(J3="letters",6,IF(J3="free forms",7,IF(J3="odors",8,IF(J3="words",9,IF(J3="pictures",10,IF(J3="object pictures",11,IF(J3="faces",12,IF(J3="names",13,IF(J3="idioms",14,IF(J3="grades",15,IF(J3="syllable-digit pairs",16,IF(J3="trigram-word pairs",17,IF(J3="word-digit pairs",18,IF(J3="English-Swahili pairs",19,IF(J3="spatial position",20,IF(J3="word pairs",21,IF(J3="word triads",22,IF(J3="generated words",23,IF(J3="word definition pairs",24,IF(J3="math problems",25,IF(J3="famous faces",26,IF(J3="famous names",27,IF(J3="famous voices",28,IF(J3="television programs",29,IF(J3="race horses",30,IF(J3="new vocabulary",31,IF(J3="sentences",32,IF(J3="concepts",33,IF(J3="ad slides",34,IF(J3="scenes",35,IF(J3="famous scenes",36,IF(J3="poems",37,IF(J3="walk",38,IF(J3="faces and events",39,IF(J3="events and names",40,IF(J3="flashbulb",41,IF(J3="stories",42,IF(J3="course material",43,IF(J3="autobiographical",44,IF(J3="novels",45,IF(J3="public events",46,"99"))))))))))))))))))))))))))))))))))))))))))))))</f>
        <v>9</v>
      </c>
      <c r="L3" s="23">
        <f t="shared" ref="L3:L67" si="1">IF(J3="syllables",1,IF(J3="trigrams",1,IF(J3="strings",1,IF(J3="visual array",1,IF(J3="characters",1,IF(J3="letters",1,IF(J3="free forms",1,IF(J3="odors",2,IF(J3="words",2,IF(J3="pictures",2,IF(J3="object pictures",2,IF(J3="faces",2,IF(J3="names",2,IF(J3="idioms","2",IF(J3="grades",2,IF(J3="syllable-digit pairs",3,IF(J3="trigram-word pairs",3,IF(J3="word-digit pairs",3,IF(J3="English-Swahili pairs",3,IF(J3="spatial position",3,IF(J3="word pairs",4,IF(J3="word triads",4,IF(J3="generated words",4,IF(J3="word definition pairs",4,IF(J3="math problems",4,IF(J3="famous faces",4,IF(J3="famous names",4,IF(J3="famous voices",4,IF(J3="television programs",4,IF(J3="race horses",4,IF(J3="new vocabulary",4,IF(J3="sentences",5,IF(J3="concepts",5,IF(J3="ad slides",5,IF(J3="scenes",5,IF(J3="famous scenes",5,IF(J3="poems",6,IF(J3="walk",6,IF(J3="faces and events",6,IF(J3="events and names",6,IF(J3="flashbulb",7,IF(J3="stories",7,IF(J3="course material",7,IF(J3="autobiographical",7,IF(J3="novels",7,IF(J3="public events",7,"99"))))))))))))))))))))))))))))))))))))))))))))))</f>
        <v>2</v>
      </c>
      <c r="M3" s="23">
        <v>1</v>
      </c>
      <c r="N3" s="23">
        <v>2</v>
      </c>
      <c r="O3" s="23">
        <v>1</v>
      </c>
      <c r="P3" s="23" t="s">
        <v>70</v>
      </c>
      <c r="Q3" s="22" t="s">
        <v>106</v>
      </c>
      <c r="R3" s="23">
        <f t="shared" ref="R3:R67" si="2">IF(Q3="Free Recall",1,IF(Q3="Cued Recall",2,IF(Q3="Recognition",3,IF(Q3="Multiple Choice",4,IF(Q3="Savings",5,IF(Q3="Stem Completion",6,IF(Q3="Fragment Completion",7,IF(Q3="anagram solution",8,IF(Q3="Matching",9,IF(Q3="Problem Solving",10,"99"))))))))))</f>
        <v>1</v>
      </c>
      <c r="S3" s="23" t="s">
        <v>31</v>
      </c>
      <c r="T3" s="22" t="s">
        <v>342</v>
      </c>
      <c r="U3" s="23">
        <f t="shared" ref="U3:U67" si="3">IF(T3="within",1,0)</f>
        <v>1</v>
      </c>
      <c r="V3" s="22">
        <v>5</v>
      </c>
      <c r="W3" s="23">
        <f t="shared" ref="W3:W67" si="4">F3*V3</f>
        <v>100</v>
      </c>
      <c r="X3" s="23">
        <v>7</v>
      </c>
      <c r="Y3" s="38">
        <f>TrimmedData!I46</f>
        <v>30</v>
      </c>
      <c r="Z3" s="23" t="s">
        <v>60</v>
      </c>
      <c r="AA3" s="23">
        <v>172800</v>
      </c>
      <c r="AB3" s="23" t="str">
        <f t="shared" ref="AB3:AB67" si="5">IF(AA3&lt;60,"1",IF(AA3&lt;=43200,"2",IF(AA3&lt;=777600,"3","4")))</f>
        <v>3</v>
      </c>
      <c r="AC3" s="19">
        <f>AVERAGE(TrimmedData!I46:O46)</f>
        <v>48372.857142857145</v>
      </c>
      <c r="AD3" s="23" t="str">
        <f t="shared" ref="AD3:AD67" si="6">IF(AC3&lt;60,"1",IF(AC3&lt;=43200,"2",IF(AC3&lt;=777600,"3","4")))</f>
        <v>3</v>
      </c>
      <c r="AE3" s="38">
        <f t="shared" ref="AE3:AE67" si="7">AA3-Y3</f>
        <v>172770</v>
      </c>
      <c r="AF3" s="41">
        <f>TrimmedData!I47</f>
        <v>0.96699999999999997</v>
      </c>
      <c r="AG3" s="19">
        <f>((TrimmedData!J47-TrimmedData!I47)+(TrimmedData!K47-TrimmedData!J47)+(TrimmedData!L47-TrimmedData!K47)+(TrimmedData!M47-TrimmedData!L47)+(TrimmedData!N47-TrimmedData!M47)+(TrimmedData!O47-TrimmedData!N47))/6</f>
        <v>-4.7833333333333318E-2</v>
      </c>
    </row>
    <row r="4" spans="1:118" s="3" customFormat="1" ht="12" customHeight="1" x14ac:dyDescent="0.2">
      <c r="A4" s="27">
        <v>43509</v>
      </c>
      <c r="B4" s="1" t="s">
        <v>68</v>
      </c>
      <c r="C4" s="1" t="s">
        <v>69</v>
      </c>
      <c r="D4" s="23">
        <v>1992</v>
      </c>
      <c r="E4" s="38">
        <v>1</v>
      </c>
      <c r="F4" s="23">
        <v>20</v>
      </c>
      <c r="G4" s="23">
        <v>20</v>
      </c>
      <c r="H4" s="23" t="s">
        <v>24</v>
      </c>
      <c r="I4" s="23" t="s">
        <v>400</v>
      </c>
      <c r="J4" s="23" t="s">
        <v>190</v>
      </c>
      <c r="K4" s="23">
        <f t="shared" si="0"/>
        <v>21</v>
      </c>
      <c r="L4" s="23">
        <f t="shared" si="1"/>
        <v>4</v>
      </c>
      <c r="M4" s="23">
        <v>1</v>
      </c>
      <c r="N4" s="23">
        <v>2</v>
      </c>
      <c r="O4" s="23">
        <v>1</v>
      </c>
      <c r="P4" s="23" t="s">
        <v>70</v>
      </c>
      <c r="Q4" s="22" t="s">
        <v>106</v>
      </c>
      <c r="R4" s="23">
        <f t="shared" si="2"/>
        <v>1</v>
      </c>
      <c r="S4" s="23" t="s">
        <v>31</v>
      </c>
      <c r="T4" s="22" t="s">
        <v>342</v>
      </c>
      <c r="U4" s="23">
        <f t="shared" si="3"/>
        <v>1</v>
      </c>
      <c r="V4" s="22">
        <v>6</v>
      </c>
      <c r="W4" s="23">
        <f t="shared" si="4"/>
        <v>120</v>
      </c>
      <c r="X4" s="23">
        <v>7</v>
      </c>
      <c r="Y4" s="38">
        <f>TrimmedData!I48</f>
        <v>30</v>
      </c>
      <c r="Z4" s="23" t="s">
        <v>60</v>
      </c>
      <c r="AA4" s="23">
        <v>172800</v>
      </c>
      <c r="AB4" s="23" t="str">
        <f t="shared" si="5"/>
        <v>3</v>
      </c>
      <c r="AC4" s="19">
        <f>AVERAGE(TrimmedData!I48:O48)</f>
        <v>48372.857142857145</v>
      </c>
      <c r="AD4" s="23" t="str">
        <f t="shared" si="6"/>
        <v>3</v>
      </c>
      <c r="AE4" s="38">
        <f t="shared" si="7"/>
        <v>172770</v>
      </c>
      <c r="AF4" s="41">
        <f>TrimmedData!I49</f>
        <v>0.96099999999999997</v>
      </c>
      <c r="AG4" s="19">
        <f>((TrimmedData!J49-TrimmedData!I49)+(TrimmedData!K49-TrimmedData!J49)+(TrimmedData!L49-TrimmedData!K49)+(TrimmedData!M49-TrimmedData!L49)+(TrimmedData!N49-TrimmedData!M49)+(TrimmedData!O49-TrimmedData!N49))/6</f>
        <v>-8.8333333333333233E-3</v>
      </c>
    </row>
    <row r="5" spans="1:118" s="3" customFormat="1" ht="12" customHeight="1" x14ac:dyDescent="0.2">
      <c r="A5" s="27">
        <v>43509</v>
      </c>
      <c r="B5" s="1" t="s">
        <v>68</v>
      </c>
      <c r="C5" s="1" t="s">
        <v>69</v>
      </c>
      <c r="D5" s="23">
        <v>1992</v>
      </c>
      <c r="E5" s="38">
        <v>1</v>
      </c>
      <c r="F5" s="23">
        <v>20</v>
      </c>
      <c r="G5" s="23">
        <v>20</v>
      </c>
      <c r="H5" s="23" t="s">
        <v>24</v>
      </c>
      <c r="I5" s="23" t="s">
        <v>398</v>
      </c>
      <c r="J5" s="23" t="s">
        <v>397</v>
      </c>
      <c r="K5" s="23">
        <f t="shared" si="0"/>
        <v>42</v>
      </c>
      <c r="L5" s="23">
        <f t="shared" si="1"/>
        <v>7</v>
      </c>
      <c r="M5" s="23">
        <v>0</v>
      </c>
      <c r="N5" s="23">
        <v>3</v>
      </c>
      <c r="O5" s="23">
        <v>1</v>
      </c>
      <c r="P5" s="23" t="s">
        <v>70</v>
      </c>
      <c r="Q5" s="22" t="s">
        <v>106</v>
      </c>
      <c r="R5" s="23">
        <f t="shared" si="2"/>
        <v>1</v>
      </c>
      <c r="S5" s="23" t="s">
        <v>31</v>
      </c>
      <c r="T5" s="22" t="s">
        <v>342</v>
      </c>
      <c r="U5" s="23">
        <f t="shared" si="3"/>
        <v>1</v>
      </c>
      <c r="V5" s="22">
        <v>20</v>
      </c>
      <c r="W5" s="23">
        <f t="shared" si="4"/>
        <v>400</v>
      </c>
      <c r="X5" s="23">
        <v>7</v>
      </c>
      <c r="Y5" s="38">
        <f>TrimmedData!I50</f>
        <v>30</v>
      </c>
      <c r="Z5" s="23" t="s">
        <v>60</v>
      </c>
      <c r="AA5" s="23">
        <v>172800</v>
      </c>
      <c r="AB5" s="23" t="str">
        <f t="shared" si="5"/>
        <v>3</v>
      </c>
      <c r="AC5" s="19">
        <f>AVERAGE(TrimmedData!I50:N50)</f>
        <v>27635</v>
      </c>
      <c r="AD5" s="23" t="str">
        <f t="shared" si="6"/>
        <v>2</v>
      </c>
      <c r="AE5" s="38">
        <f t="shared" si="7"/>
        <v>172770</v>
      </c>
      <c r="AF5" s="41">
        <f>TrimmedData!I51</f>
        <v>0.68799999999999994</v>
      </c>
      <c r="AG5" s="19">
        <f>((TrimmedData!J51-TrimmedData!I51)+(TrimmedData!K51-TrimmedData!J51)+(TrimmedData!L51-TrimmedData!K51)+(TrimmedData!M51-TrimmedData!L51)+(TrimmedData!N51-TrimmedData!M51)+(TrimmedData!O51-TrimmedData!N51))/6</f>
        <v>3.3333333333333365E-4</v>
      </c>
    </row>
    <row r="6" spans="1:118" s="3" customFormat="1" ht="12" customHeight="1" x14ac:dyDescent="0.2">
      <c r="A6" s="27">
        <v>43509</v>
      </c>
      <c r="B6" s="1" t="s">
        <v>68</v>
      </c>
      <c r="C6" s="1" t="s">
        <v>69</v>
      </c>
      <c r="D6" s="23">
        <v>1992</v>
      </c>
      <c r="E6" s="38">
        <v>1</v>
      </c>
      <c r="F6" s="23">
        <v>20</v>
      </c>
      <c r="G6" s="23">
        <v>20</v>
      </c>
      <c r="H6" s="23" t="s">
        <v>24</v>
      </c>
      <c r="I6" s="23" t="s">
        <v>401</v>
      </c>
      <c r="J6" s="23" t="s">
        <v>186</v>
      </c>
      <c r="K6" s="23">
        <f t="shared" si="0"/>
        <v>10</v>
      </c>
      <c r="L6" s="23">
        <f t="shared" si="1"/>
        <v>2</v>
      </c>
      <c r="M6" s="23">
        <v>0</v>
      </c>
      <c r="N6" s="23">
        <v>3</v>
      </c>
      <c r="O6" s="23">
        <v>1</v>
      </c>
      <c r="P6" s="23" t="s">
        <v>70</v>
      </c>
      <c r="Q6" s="22" t="s">
        <v>106</v>
      </c>
      <c r="R6" s="23">
        <f t="shared" si="2"/>
        <v>1</v>
      </c>
      <c r="S6" s="23" t="s">
        <v>31</v>
      </c>
      <c r="T6" s="22" t="s">
        <v>342</v>
      </c>
      <c r="U6" s="23">
        <f t="shared" si="3"/>
        <v>1</v>
      </c>
      <c r="V6" s="22">
        <v>7</v>
      </c>
      <c r="W6" s="23">
        <f t="shared" si="4"/>
        <v>140</v>
      </c>
      <c r="X6" s="23">
        <v>6</v>
      </c>
      <c r="Y6" s="38">
        <f>TrimmedData!I46</f>
        <v>30</v>
      </c>
      <c r="Z6" s="23" t="s">
        <v>60</v>
      </c>
      <c r="AA6" s="23">
        <v>172800</v>
      </c>
      <c r="AB6" s="23" t="str">
        <f t="shared" si="5"/>
        <v>3</v>
      </c>
      <c r="AC6" s="19">
        <f>AVERAGE(TrimmedData!I52:BN52)</f>
        <v>56430</v>
      </c>
      <c r="AD6" s="23" t="str">
        <f t="shared" si="6"/>
        <v>3</v>
      </c>
      <c r="AE6" s="38">
        <f t="shared" si="7"/>
        <v>172770</v>
      </c>
      <c r="AF6" s="41">
        <f>TrimmedData!I53</f>
        <v>0.89300000000000002</v>
      </c>
      <c r="AG6" s="19">
        <f>((TrimmedData!J53-TrimmedData!I53)+(TrimmedData!K53-TrimmedData!J53)+(TrimmedData!L53-TrimmedData!K53)+(TrimmedData!M53-TrimmedData!L53)+(TrimmedData!N53-TrimmedData!M53))/5</f>
        <v>-2.1399999999999995E-2</v>
      </c>
    </row>
    <row r="7" spans="1:118" s="3" customFormat="1" ht="12" customHeight="1" x14ac:dyDescent="0.2">
      <c r="A7" s="27">
        <v>43509</v>
      </c>
      <c r="B7" s="81" t="s">
        <v>178</v>
      </c>
      <c r="C7" s="1" t="s">
        <v>71</v>
      </c>
      <c r="D7" s="23">
        <v>2018</v>
      </c>
      <c r="E7" s="38">
        <v>1</v>
      </c>
      <c r="F7" s="23">
        <v>288</v>
      </c>
      <c r="G7" s="23">
        <v>48</v>
      </c>
      <c r="H7" s="23" t="s">
        <v>22</v>
      </c>
      <c r="I7" s="23"/>
      <c r="J7" s="23" t="s">
        <v>12</v>
      </c>
      <c r="K7" s="23">
        <f t="shared" si="0"/>
        <v>9</v>
      </c>
      <c r="L7" s="23">
        <f t="shared" si="1"/>
        <v>2</v>
      </c>
      <c r="M7" s="23">
        <v>0</v>
      </c>
      <c r="N7" s="23">
        <v>2</v>
      </c>
      <c r="O7" s="23">
        <v>1</v>
      </c>
      <c r="P7" s="23" t="s">
        <v>177</v>
      </c>
      <c r="Q7" s="23" t="s">
        <v>106</v>
      </c>
      <c r="R7" s="23">
        <f t="shared" si="2"/>
        <v>1</v>
      </c>
      <c r="S7" s="23" t="s">
        <v>31</v>
      </c>
      <c r="T7" s="23" t="s">
        <v>163</v>
      </c>
      <c r="U7" s="23">
        <f t="shared" si="3"/>
        <v>0</v>
      </c>
      <c r="V7" s="23">
        <v>20</v>
      </c>
      <c r="W7" s="23">
        <f t="shared" si="4"/>
        <v>5760</v>
      </c>
      <c r="X7" s="23">
        <v>6</v>
      </c>
      <c r="Y7" s="38">
        <f>TrimmedData!I54</f>
        <v>60</v>
      </c>
      <c r="Z7" s="23" t="s">
        <v>105</v>
      </c>
      <c r="AA7" s="23">
        <v>7257600</v>
      </c>
      <c r="AB7" s="23" t="str">
        <f t="shared" si="5"/>
        <v>4</v>
      </c>
      <c r="AC7" s="19">
        <f>AVERAGE(TrimmedData!I54:N54)</f>
        <v>1728610</v>
      </c>
      <c r="AD7" s="23" t="str">
        <f t="shared" si="6"/>
        <v>4</v>
      </c>
      <c r="AE7" s="38">
        <f t="shared" si="7"/>
        <v>7257540</v>
      </c>
      <c r="AF7" s="41">
        <f>TrimmedData!I55</f>
        <v>0.45208333333333323</v>
      </c>
      <c r="AG7" s="19">
        <f>((TrimmedData!J55-TrimmedData!I55)+(TrimmedData!K55-TrimmedData!J55)+(TrimmedData!L55-TrimmedData!K55)+(TrimmedData!M55-TrimmedData!L55)+(TrimmedData!N55-TrimmedData!M55))/5</f>
        <v>-8.6666666666666642E-2</v>
      </c>
    </row>
    <row r="8" spans="1:118" s="3" customFormat="1" ht="12" customHeight="1" x14ac:dyDescent="0.2">
      <c r="A8" s="27">
        <v>43509</v>
      </c>
      <c r="B8" s="32" t="s">
        <v>53</v>
      </c>
      <c r="C8" s="32" t="s">
        <v>54</v>
      </c>
      <c r="D8" s="31">
        <v>1968</v>
      </c>
      <c r="E8" s="44">
        <v>1</v>
      </c>
      <c r="F8" s="31">
        <v>95</v>
      </c>
      <c r="G8" s="31">
        <v>19</v>
      </c>
      <c r="H8" s="31" t="s">
        <v>32</v>
      </c>
      <c r="I8" s="31" t="s">
        <v>418</v>
      </c>
      <c r="J8" s="31" t="s">
        <v>174</v>
      </c>
      <c r="K8" s="31">
        <f t="shared" si="0"/>
        <v>1</v>
      </c>
      <c r="L8" s="31">
        <f t="shared" si="1"/>
        <v>1</v>
      </c>
      <c r="M8" s="31">
        <v>0</v>
      </c>
      <c r="N8" s="31">
        <v>1</v>
      </c>
      <c r="O8" s="31">
        <v>1</v>
      </c>
      <c r="P8" s="31" t="s">
        <v>55</v>
      </c>
      <c r="Q8" s="31" t="s">
        <v>106</v>
      </c>
      <c r="R8" s="31">
        <f t="shared" si="2"/>
        <v>1</v>
      </c>
      <c r="S8" s="31" t="s">
        <v>31</v>
      </c>
      <c r="T8" s="31" t="s">
        <v>163</v>
      </c>
      <c r="U8" s="31">
        <f t="shared" si="3"/>
        <v>0</v>
      </c>
      <c r="V8" s="31">
        <v>7</v>
      </c>
      <c r="W8" s="31">
        <f t="shared" si="4"/>
        <v>665</v>
      </c>
      <c r="X8" s="31">
        <v>5</v>
      </c>
      <c r="Y8" s="44">
        <f>TrimmedData!I66</f>
        <v>74</v>
      </c>
      <c r="Z8" s="31" t="s">
        <v>52</v>
      </c>
      <c r="AA8" s="31">
        <v>86400</v>
      </c>
      <c r="AB8" s="31" t="str">
        <f t="shared" si="5"/>
        <v>3</v>
      </c>
      <c r="AC8" s="34">
        <f>AVERAGE(TrimmedData!I66:M66)</f>
        <v>17726.8</v>
      </c>
      <c r="AD8" s="31" t="str">
        <f t="shared" si="6"/>
        <v>2</v>
      </c>
      <c r="AE8" s="44">
        <f t="shared" si="7"/>
        <v>86326</v>
      </c>
      <c r="AF8" s="45">
        <f>TrimmedData!I67</f>
        <v>0.84299999999999997</v>
      </c>
      <c r="AG8" s="34">
        <f>((TrimmedData!J67-TrimmedData!I67)+(TrimmedData!K67-TrimmedData!J67)+(TrimmedData!L67-TrimmedData!K67)+(TrimmedData!M67-TrimmedData!L67))/4</f>
        <v>-8.5749999999999993E-2</v>
      </c>
    </row>
    <row r="9" spans="1:118" s="3" customFormat="1" ht="12" customHeight="1" x14ac:dyDescent="0.2">
      <c r="A9" s="27">
        <v>43509</v>
      </c>
      <c r="B9" s="32" t="s">
        <v>53</v>
      </c>
      <c r="C9" s="32" t="s">
        <v>54</v>
      </c>
      <c r="D9" s="31">
        <v>1968</v>
      </c>
      <c r="E9" s="44">
        <v>1</v>
      </c>
      <c r="F9" s="31">
        <v>95</v>
      </c>
      <c r="G9" s="31">
        <v>19</v>
      </c>
      <c r="H9" s="31" t="s">
        <v>32</v>
      </c>
      <c r="I9" s="31" t="s">
        <v>419</v>
      </c>
      <c r="J9" s="31" t="s">
        <v>174</v>
      </c>
      <c r="K9" s="31">
        <f t="shared" si="0"/>
        <v>1</v>
      </c>
      <c r="L9" s="31">
        <f t="shared" si="1"/>
        <v>1</v>
      </c>
      <c r="M9" s="31">
        <v>0</v>
      </c>
      <c r="N9" s="31">
        <v>1</v>
      </c>
      <c r="O9" s="31">
        <v>1</v>
      </c>
      <c r="P9" s="31" t="s">
        <v>55</v>
      </c>
      <c r="Q9" s="31" t="s">
        <v>106</v>
      </c>
      <c r="R9" s="31">
        <f t="shared" si="2"/>
        <v>1</v>
      </c>
      <c r="S9" s="31" t="s">
        <v>31</v>
      </c>
      <c r="T9" s="31" t="s">
        <v>163</v>
      </c>
      <c r="U9" s="31">
        <f t="shared" si="3"/>
        <v>0</v>
      </c>
      <c r="V9" s="31">
        <v>7</v>
      </c>
      <c r="W9" s="31">
        <f t="shared" si="4"/>
        <v>665</v>
      </c>
      <c r="X9" s="31">
        <v>5</v>
      </c>
      <c r="Y9" s="44">
        <f>TrimmedData!I68</f>
        <v>74</v>
      </c>
      <c r="Z9" s="31" t="s">
        <v>52</v>
      </c>
      <c r="AA9" s="31">
        <v>86400</v>
      </c>
      <c r="AB9" s="31" t="str">
        <f t="shared" si="5"/>
        <v>3</v>
      </c>
      <c r="AC9" s="34">
        <f>AVERAGE(TrimmedData!I68:M68)</f>
        <v>17726.8</v>
      </c>
      <c r="AD9" s="31" t="str">
        <f t="shared" si="6"/>
        <v>2</v>
      </c>
      <c r="AE9" s="44">
        <f t="shared" si="7"/>
        <v>86326</v>
      </c>
      <c r="AF9" s="45">
        <f>TrimmedData!I69</f>
        <v>0.5</v>
      </c>
      <c r="AG9" s="34">
        <f>((TrimmedData!J69-TrimmedData!I69)+(TrimmedData!K69-TrimmedData!J69)+(TrimmedData!L69-TrimmedData!K69)+(TrimmedData!M69-TrimmedData!L69))/4</f>
        <v>7.5000000000000011E-2</v>
      </c>
    </row>
    <row r="10" spans="1:118" s="3" customFormat="1" ht="12" customHeight="1" x14ac:dyDescent="0.2">
      <c r="A10" s="27">
        <v>43509</v>
      </c>
      <c r="B10" s="1" t="s">
        <v>152</v>
      </c>
      <c r="C10" s="1" t="s">
        <v>28</v>
      </c>
      <c r="D10" s="23">
        <v>1999</v>
      </c>
      <c r="E10" s="38">
        <v>1</v>
      </c>
      <c r="F10" s="23">
        <v>19</v>
      </c>
      <c r="G10" s="23">
        <v>19</v>
      </c>
      <c r="H10" s="23" t="s">
        <v>143</v>
      </c>
      <c r="I10" s="23" t="s">
        <v>197</v>
      </c>
      <c r="J10" s="23" t="s">
        <v>43</v>
      </c>
      <c r="K10" s="23">
        <f t="shared" si="0"/>
        <v>42</v>
      </c>
      <c r="L10" s="23">
        <f t="shared" si="1"/>
        <v>7</v>
      </c>
      <c r="M10" s="23">
        <v>0</v>
      </c>
      <c r="N10" s="23">
        <v>3</v>
      </c>
      <c r="O10" s="23">
        <v>1</v>
      </c>
      <c r="P10" s="23" t="s">
        <v>42</v>
      </c>
      <c r="Q10" s="23" t="s">
        <v>106</v>
      </c>
      <c r="R10" s="23">
        <f t="shared" si="2"/>
        <v>1</v>
      </c>
      <c r="S10" s="23" t="s">
        <v>31</v>
      </c>
      <c r="T10" s="22" t="s">
        <v>342</v>
      </c>
      <c r="U10" s="23">
        <f t="shared" si="3"/>
        <v>1</v>
      </c>
      <c r="V10" s="22">
        <v>100</v>
      </c>
      <c r="W10" s="23">
        <f t="shared" si="4"/>
        <v>1900</v>
      </c>
      <c r="X10" s="23">
        <v>5</v>
      </c>
      <c r="Y10" s="38">
        <f>TrimmedData!I72</f>
        <v>15</v>
      </c>
      <c r="Z10" s="23" t="s">
        <v>44</v>
      </c>
      <c r="AA10" s="23">
        <v>600</v>
      </c>
      <c r="AB10" s="23" t="str">
        <f t="shared" si="5"/>
        <v>2</v>
      </c>
      <c r="AC10" s="19">
        <f>AVERAGE(TrimmedData!I72:M72)</f>
        <v>219</v>
      </c>
      <c r="AD10" s="23" t="str">
        <f t="shared" si="6"/>
        <v>2</v>
      </c>
      <c r="AE10" s="38">
        <f t="shared" si="7"/>
        <v>585</v>
      </c>
      <c r="AF10" s="41">
        <f>TrimmedData!I73</f>
        <v>0.372</v>
      </c>
      <c r="AG10" s="19">
        <f>((TrimmedData!J73-TrimmedData!I73)+(TrimmedData!K73-TrimmedData!J73)+(TrimmedData!L73-TrimmedData!K73)+(TrimmedData!M73-TrimmedData!L73))/4</f>
        <v>-5.0000000000000044E-3</v>
      </c>
    </row>
    <row r="11" spans="1:118" s="3" customFormat="1" ht="12" customHeight="1" x14ac:dyDescent="0.2">
      <c r="A11" s="27">
        <v>43976</v>
      </c>
      <c r="B11" s="32" t="s">
        <v>498</v>
      </c>
      <c r="C11" s="32" t="s">
        <v>36</v>
      </c>
      <c r="D11" s="31">
        <v>1985</v>
      </c>
      <c r="E11" s="44">
        <v>1</v>
      </c>
      <c r="F11" s="31">
        <v>16</v>
      </c>
      <c r="G11" s="31">
        <v>16</v>
      </c>
      <c r="H11" s="31" t="s">
        <v>32</v>
      </c>
      <c r="I11" s="31" t="s">
        <v>197</v>
      </c>
      <c r="J11" s="31" t="s">
        <v>12</v>
      </c>
      <c r="K11" s="31">
        <f t="shared" si="0"/>
        <v>9</v>
      </c>
      <c r="L11" s="31">
        <f t="shared" si="1"/>
        <v>2</v>
      </c>
      <c r="M11" s="31">
        <v>0</v>
      </c>
      <c r="N11" s="31">
        <v>1</v>
      </c>
      <c r="O11" s="31">
        <v>1</v>
      </c>
      <c r="P11" s="31" t="s">
        <v>42</v>
      </c>
      <c r="Q11" s="31" t="s">
        <v>106</v>
      </c>
      <c r="R11" s="31">
        <f t="shared" si="2"/>
        <v>1</v>
      </c>
      <c r="S11" s="31" t="s">
        <v>31</v>
      </c>
      <c r="T11" s="46" t="s">
        <v>342</v>
      </c>
      <c r="U11" s="31">
        <f t="shared" si="3"/>
        <v>1</v>
      </c>
      <c r="V11" s="46">
        <v>25</v>
      </c>
      <c r="W11" s="31">
        <f t="shared" si="4"/>
        <v>400</v>
      </c>
      <c r="X11" s="31">
        <v>5</v>
      </c>
      <c r="Y11" s="44">
        <f>TrimmedData!I78</f>
        <v>0.01</v>
      </c>
      <c r="Z11" s="46" t="s">
        <v>499</v>
      </c>
      <c r="AA11" s="31">
        <v>20</v>
      </c>
      <c r="AB11" s="31" t="str">
        <f t="shared" si="5"/>
        <v>1</v>
      </c>
      <c r="AC11" s="34">
        <f>AVERAGE(TrimmedData!I78:M78)</f>
        <v>7.4019999999999992</v>
      </c>
      <c r="AD11" s="31" t="str">
        <f t="shared" si="6"/>
        <v>1</v>
      </c>
      <c r="AE11" s="44">
        <f t="shared" si="7"/>
        <v>19.989999999999998</v>
      </c>
      <c r="AF11" s="45">
        <f>TrimmedData!I79</f>
        <v>1</v>
      </c>
      <c r="AG11" s="34">
        <f>((TrimmedData!J79-TrimmedData!I79)+(TrimmedData!K79-TrimmedData!J79)+(TrimmedData!L79-TrimmedData!K79)+(TrimmedData!M79-TrimmedData!L79))/4</f>
        <v>-0.14781566749002267</v>
      </c>
    </row>
    <row r="12" spans="1:118" s="3" customFormat="1" ht="12" customHeight="1" x14ac:dyDescent="0.2">
      <c r="A12" s="27">
        <v>44041</v>
      </c>
      <c r="B12" s="1" t="s">
        <v>530</v>
      </c>
      <c r="C12" s="1" t="s">
        <v>256</v>
      </c>
      <c r="D12" s="23">
        <v>1978</v>
      </c>
      <c r="E12" s="38">
        <v>3</v>
      </c>
      <c r="F12" s="23">
        <v>648</v>
      </c>
      <c r="G12" s="23">
        <v>144</v>
      </c>
      <c r="H12" s="23" t="s">
        <v>25</v>
      </c>
      <c r="I12" s="23" t="s">
        <v>535</v>
      </c>
      <c r="J12" s="23" t="s">
        <v>186</v>
      </c>
      <c r="K12" s="23">
        <f t="shared" si="0"/>
        <v>10</v>
      </c>
      <c r="L12" s="23">
        <f t="shared" si="1"/>
        <v>2</v>
      </c>
      <c r="M12" s="23">
        <v>0</v>
      </c>
      <c r="N12" s="23">
        <v>3</v>
      </c>
      <c r="O12" s="23">
        <v>1</v>
      </c>
      <c r="P12" s="23" t="s">
        <v>536</v>
      </c>
      <c r="Q12" s="69" t="s">
        <v>111</v>
      </c>
      <c r="R12" s="23">
        <f t="shared" si="2"/>
        <v>4</v>
      </c>
      <c r="S12" s="23" t="s">
        <v>11</v>
      </c>
      <c r="T12" s="22" t="s">
        <v>163</v>
      </c>
      <c r="U12" s="23">
        <f t="shared" si="3"/>
        <v>0</v>
      </c>
      <c r="V12" s="22">
        <v>1</v>
      </c>
      <c r="W12" s="23">
        <f t="shared" si="4"/>
        <v>648</v>
      </c>
      <c r="X12" s="23">
        <v>5</v>
      </c>
      <c r="Y12" s="38">
        <f>TrimmedData!I82</f>
        <v>120</v>
      </c>
      <c r="Z12" s="23" t="s">
        <v>89</v>
      </c>
      <c r="AA12" s="23">
        <f>60*60*24*7</f>
        <v>604800</v>
      </c>
      <c r="AB12" s="23" t="str">
        <f t="shared" si="5"/>
        <v>3</v>
      </c>
      <c r="AC12" s="19">
        <f>AVERAGE(TrimmedData!I82:BN82)</f>
        <v>173064</v>
      </c>
      <c r="AD12" s="23" t="str">
        <f t="shared" si="6"/>
        <v>3</v>
      </c>
      <c r="AE12" s="38">
        <f t="shared" si="7"/>
        <v>604680</v>
      </c>
      <c r="AF12" s="41">
        <f>TrimmedData!I83</f>
        <v>0.37723323081060101</v>
      </c>
      <c r="AG12" s="19">
        <f>((TrimmedData!J83-TrimmedData!I83)+(TrimmedData!K83-TrimmedData!J83)+(TrimmedData!L83-TrimmedData!K83)+(TrimmedData!M83-TrimmedData!L83))/4</f>
        <v>4.0558664851510245E-2</v>
      </c>
    </row>
    <row r="13" spans="1:118" s="3" customFormat="1" ht="12" customHeight="1" x14ac:dyDescent="0.2">
      <c r="A13" s="27">
        <v>44041</v>
      </c>
      <c r="B13" s="1" t="s">
        <v>530</v>
      </c>
      <c r="C13" s="1" t="s">
        <v>256</v>
      </c>
      <c r="D13" s="23">
        <v>1978</v>
      </c>
      <c r="E13" s="38">
        <v>3</v>
      </c>
      <c r="F13" s="23">
        <v>648</v>
      </c>
      <c r="G13" s="23">
        <v>144</v>
      </c>
      <c r="H13" s="23" t="s">
        <v>25</v>
      </c>
      <c r="I13" s="23" t="s">
        <v>539</v>
      </c>
      <c r="J13" s="23" t="s">
        <v>186</v>
      </c>
      <c r="K13" s="23">
        <f t="shared" si="0"/>
        <v>10</v>
      </c>
      <c r="L13" s="23">
        <f t="shared" si="1"/>
        <v>2</v>
      </c>
      <c r="M13" s="23">
        <v>0</v>
      </c>
      <c r="N13" s="23">
        <v>3</v>
      </c>
      <c r="O13" s="23">
        <v>1</v>
      </c>
      <c r="P13" s="23" t="s">
        <v>536</v>
      </c>
      <c r="Q13" s="69" t="s">
        <v>111</v>
      </c>
      <c r="R13" s="23">
        <f t="shared" si="2"/>
        <v>4</v>
      </c>
      <c r="S13" s="23" t="s">
        <v>11</v>
      </c>
      <c r="T13" s="22" t="s">
        <v>163</v>
      </c>
      <c r="U13" s="23">
        <f t="shared" si="3"/>
        <v>0</v>
      </c>
      <c r="V13" s="22">
        <v>1</v>
      </c>
      <c r="W13" s="23">
        <f t="shared" si="4"/>
        <v>648</v>
      </c>
      <c r="X13" s="23">
        <v>5</v>
      </c>
      <c r="Y13" s="38">
        <f>TrimmedData!I84</f>
        <v>120</v>
      </c>
      <c r="Z13" s="23" t="s">
        <v>89</v>
      </c>
      <c r="AA13" s="23">
        <f>60*60*24*7</f>
        <v>604800</v>
      </c>
      <c r="AB13" s="23" t="str">
        <f t="shared" si="5"/>
        <v>3</v>
      </c>
      <c r="AC13" s="19">
        <f>AVERAGE(TrimmedData!I84:BN84)</f>
        <v>173064</v>
      </c>
      <c r="AD13" s="23" t="str">
        <f t="shared" si="6"/>
        <v>3</v>
      </c>
      <c r="AE13" s="38">
        <f t="shared" si="7"/>
        <v>604680</v>
      </c>
      <c r="AF13" s="41">
        <f>TrimmedData!I85</f>
        <v>0.38013514451185698</v>
      </c>
      <c r="AG13" s="19">
        <f>((TrimmedData!J85-TrimmedData!I85)+(TrimmedData!K85-TrimmedData!J85)+(TrimmedData!L85-TrimmedData!K85)+(TrimmedData!M85-TrimmedData!L85))/4</f>
        <v>-4.9465286642669498E-2</v>
      </c>
    </row>
    <row r="14" spans="1:118" ht="12" customHeight="1" x14ac:dyDescent="0.2">
      <c r="A14" s="27">
        <v>43509</v>
      </c>
      <c r="B14" s="32" t="s">
        <v>477</v>
      </c>
      <c r="C14" s="32" t="s">
        <v>28</v>
      </c>
      <c r="D14" s="31">
        <v>1988</v>
      </c>
      <c r="E14" s="44">
        <v>2</v>
      </c>
      <c r="F14" s="31">
        <v>80</v>
      </c>
      <c r="G14" s="31">
        <v>16</v>
      </c>
      <c r="H14" s="31" t="s">
        <v>20</v>
      </c>
      <c r="I14" s="31"/>
      <c r="J14" s="31" t="s">
        <v>190</v>
      </c>
      <c r="K14" s="31">
        <f t="shared" si="0"/>
        <v>21</v>
      </c>
      <c r="L14" s="31">
        <f t="shared" si="1"/>
        <v>4</v>
      </c>
      <c r="M14" s="31">
        <v>1</v>
      </c>
      <c r="N14" s="31">
        <v>2</v>
      </c>
      <c r="O14" s="31">
        <v>1</v>
      </c>
      <c r="P14" s="31" t="s">
        <v>18</v>
      </c>
      <c r="Q14" s="31" t="s">
        <v>111</v>
      </c>
      <c r="R14" s="31">
        <f t="shared" si="2"/>
        <v>4</v>
      </c>
      <c r="S14" s="31" t="s">
        <v>11</v>
      </c>
      <c r="T14" s="31" t="s">
        <v>163</v>
      </c>
      <c r="U14" s="31">
        <f t="shared" si="3"/>
        <v>0</v>
      </c>
      <c r="V14" s="31">
        <v>20</v>
      </c>
      <c r="W14" s="31">
        <f t="shared" si="4"/>
        <v>1600</v>
      </c>
      <c r="X14" s="31">
        <v>5</v>
      </c>
      <c r="Y14" s="44">
        <f>TrimmedData!I86</f>
        <v>1296000</v>
      </c>
      <c r="Z14" s="31" t="s">
        <v>115</v>
      </c>
      <c r="AA14" s="31">
        <f>30*24*60*60*2.5</f>
        <v>6480000</v>
      </c>
      <c r="AB14" s="31" t="str">
        <f t="shared" si="5"/>
        <v>4</v>
      </c>
      <c r="AC14" s="34">
        <f>AVERAGE(TrimmedData!I86:M86)</f>
        <v>3888000</v>
      </c>
      <c r="AD14" s="31" t="str">
        <f t="shared" si="6"/>
        <v>4</v>
      </c>
      <c r="AE14" s="44">
        <f t="shared" si="7"/>
        <v>5184000</v>
      </c>
      <c r="AF14" s="45">
        <f>TrimmedData!I87</f>
        <v>0.8</v>
      </c>
      <c r="AG14" s="19">
        <f>((TrimmedData!J87-TrimmedData!I87)+(TrimmedData!K87-TrimmedData!J87)+(TrimmedData!L87-TrimmedData!K87)+(TrimmedData!M87-TrimmedData!L87))/4</f>
        <v>-4.7500000000000014E-2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2" customHeight="1" x14ac:dyDescent="0.2">
      <c r="A15" s="27">
        <v>43902</v>
      </c>
      <c r="B15" s="1" t="s">
        <v>275</v>
      </c>
      <c r="C15" s="1" t="s">
        <v>215</v>
      </c>
      <c r="D15" s="23">
        <v>1988</v>
      </c>
      <c r="E15" s="38">
        <v>1</v>
      </c>
      <c r="F15" s="23">
        <v>4</v>
      </c>
      <c r="G15" s="23">
        <v>4</v>
      </c>
      <c r="H15" s="23" t="s">
        <v>276</v>
      </c>
      <c r="I15" s="23" t="s">
        <v>197</v>
      </c>
      <c r="J15" s="22" t="s">
        <v>12</v>
      </c>
      <c r="K15" s="23">
        <f t="shared" si="0"/>
        <v>9</v>
      </c>
      <c r="L15" s="23">
        <f t="shared" si="1"/>
        <v>2</v>
      </c>
      <c r="M15" s="23">
        <v>0</v>
      </c>
      <c r="N15" s="23">
        <v>1</v>
      </c>
      <c r="O15" s="23">
        <v>1</v>
      </c>
      <c r="P15" s="23" t="s">
        <v>18</v>
      </c>
      <c r="Q15" s="23" t="s">
        <v>106</v>
      </c>
      <c r="R15" s="23">
        <f t="shared" si="2"/>
        <v>1</v>
      </c>
      <c r="S15" s="23" t="s">
        <v>31</v>
      </c>
      <c r="T15" s="22" t="s">
        <v>342</v>
      </c>
      <c r="U15" s="23">
        <f t="shared" si="3"/>
        <v>1</v>
      </c>
      <c r="V15" s="22">
        <v>15</v>
      </c>
      <c r="W15" s="23">
        <f t="shared" si="4"/>
        <v>60</v>
      </c>
      <c r="X15" s="23">
        <v>5</v>
      </c>
      <c r="Y15" s="38">
        <f>TrimmedData!I90</f>
        <v>0.01</v>
      </c>
      <c r="Z15" s="22" t="s">
        <v>34</v>
      </c>
      <c r="AA15" s="22">
        <v>30</v>
      </c>
      <c r="AB15" s="23" t="str">
        <f t="shared" si="5"/>
        <v>1</v>
      </c>
      <c r="AC15" s="19">
        <f>AVERAGE(TrimmedData!I90:M90)</f>
        <v>12.001999999999999</v>
      </c>
      <c r="AD15" s="23" t="str">
        <f t="shared" si="6"/>
        <v>1</v>
      </c>
      <c r="AE15" s="38">
        <f t="shared" si="7"/>
        <v>29.99</v>
      </c>
      <c r="AF15" s="41">
        <f>TrimmedData!I91</f>
        <v>1</v>
      </c>
      <c r="AG15" s="19">
        <f>((TrimmedData!J91-TrimmedData!I91)+(TrimmedData!K91-TrimmedData!J91)+(TrimmedData!L91-TrimmedData!K91)+(TrimmedData!M91-TrimmedData!L91))/4</f>
        <v>-0.1225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2" customHeight="1" x14ac:dyDescent="0.2">
      <c r="A16" s="27">
        <v>43509</v>
      </c>
      <c r="B16" s="1" t="s">
        <v>155</v>
      </c>
      <c r="C16" s="1" t="s">
        <v>15</v>
      </c>
      <c r="D16" s="23">
        <v>1961</v>
      </c>
      <c r="E16" s="38">
        <v>1</v>
      </c>
      <c r="F16" s="23">
        <v>24</v>
      </c>
      <c r="G16" s="23">
        <v>24</v>
      </c>
      <c r="H16" s="23" t="s">
        <v>17</v>
      </c>
      <c r="I16" s="23" t="s">
        <v>273</v>
      </c>
      <c r="J16" s="23" t="s">
        <v>273</v>
      </c>
      <c r="K16" s="23">
        <f t="shared" si="0"/>
        <v>2</v>
      </c>
      <c r="L16" s="23">
        <f t="shared" si="1"/>
        <v>1</v>
      </c>
      <c r="M16" s="23">
        <v>0</v>
      </c>
      <c r="N16" s="23">
        <v>1</v>
      </c>
      <c r="O16" s="23">
        <v>1</v>
      </c>
      <c r="P16" s="23" t="s">
        <v>18</v>
      </c>
      <c r="Q16" s="23" t="s">
        <v>106</v>
      </c>
      <c r="R16" s="23">
        <f t="shared" si="2"/>
        <v>1</v>
      </c>
      <c r="S16" s="23" t="s">
        <v>31</v>
      </c>
      <c r="T16" s="22" t="s">
        <v>342</v>
      </c>
      <c r="U16" s="23">
        <f t="shared" si="3"/>
        <v>1</v>
      </c>
      <c r="V16" s="22">
        <v>48</v>
      </c>
      <c r="W16" s="23">
        <f t="shared" si="4"/>
        <v>1152</v>
      </c>
      <c r="X16" s="23">
        <v>6</v>
      </c>
      <c r="Y16" s="38">
        <f>TrimmedData!I92</f>
        <v>0.01</v>
      </c>
      <c r="Z16" s="23" t="s">
        <v>19</v>
      </c>
      <c r="AA16" s="23">
        <v>18</v>
      </c>
      <c r="AB16" s="23" t="str">
        <f t="shared" si="5"/>
        <v>1</v>
      </c>
      <c r="AC16" s="19">
        <f>AVERAGE(TrimmedData!I92:N92)</f>
        <v>8.0016666666666669</v>
      </c>
      <c r="AD16" s="23" t="str">
        <f t="shared" si="6"/>
        <v>1</v>
      </c>
      <c r="AE16" s="38">
        <f t="shared" si="7"/>
        <v>17.989999999999998</v>
      </c>
      <c r="AF16" s="41">
        <f>TrimmedData!I93</f>
        <v>0.94</v>
      </c>
      <c r="AG16" s="19">
        <f>((TrimmedData!J93-TrimmedData!I93)+(TrimmedData!K93-TrimmedData!J93)+(TrimmedData!L93-TrimmedData!K93)+(TrimmedData!M93-TrimmedData!L93)+(TrimmedData!N93-TrimmedData!M93))/5</f>
        <v>-0.15599999999999997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2" customHeight="1" x14ac:dyDescent="0.2">
      <c r="A17" s="27">
        <v>43509</v>
      </c>
      <c r="B17" s="1" t="s">
        <v>155</v>
      </c>
      <c r="C17" s="1" t="s">
        <v>15</v>
      </c>
      <c r="D17" s="23">
        <v>1961</v>
      </c>
      <c r="E17" s="38">
        <v>1</v>
      </c>
      <c r="F17" s="23">
        <v>24</v>
      </c>
      <c r="G17" s="23">
        <v>24</v>
      </c>
      <c r="H17" s="23" t="s">
        <v>17</v>
      </c>
      <c r="I17" s="23" t="s">
        <v>12</v>
      </c>
      <c r="J17" s="23" t="s">
        <v>12</v>
      </c>
      <c r="K17" s="23">
        <f t="shared" si="0"/>
        <v>9</v>
      </c>
      <c r="L17" s="23">
        <f t="shared" si="1"/>
        <v>2</v>
      </c>
      <c r="M17" s="23">
        <v>0</v>
      </c>
      <c r="N17" s="23">
        <v>1</v>
      </c>
      <c r="O17" s="23">
        <v>1</v>
      </c>
      <c r="P17" s="23" t="s">
        <v>18</v>
      </c>
      <c r="Q17" s="23" t="s">
        <v>106</v>
      </c>
      <c r="R17" s="23">
        <f t="shared" si="2"/>
        <v>1</v>
      </c>
      <c r="S17" s="23" t="s">
        <v>31</v>
      </c>
      <c r="T17" s="22" t="s">
        <v>342</v>
      </c>
      <c r="U17" s="23">
        <f t="shared" si="3"/>
        <v>1</v>
      </c>
      <c r="V17" s="22">
        <v>48</v>
      </c>
      <c r="W17" s="23">
        <f t="shared" si="4"/>
        <v>1152</v>
      </c>
      <c r="X17" s="23">
        <v>6</v>
      </c>
      <c r="Y17" s="38">
        <f>TrimmedData!I94</f>
        <v>0.01</v>
      </c>
      <c r="Z17" s="23" t="s">
        <v>19</v>
      </c>
      <c r="AA17" s="23">
        <v>18</v>
      </c>
      <c r="AB17" s="23" t="str">
        <f t="shared" si="5"/>
        <v>1</v>
      </c>
      <c r="AC17" s="19">
        <f>AVERAGE(TrimmedData!I94:N94)</f>
        <v>8.0016666666666669</v>
      </c>
      <c r="AD17" s="23" t="str">
        <f t="shared" si="6"/>
        <v>1</v>
      </c>
      <c r="AE17" s="38">
        <f t="shared" si="7"/>
        <v>17.989999999999998</v>
      </c>
      <c r="AF17" s="41">
        <f>TrimmedData!I95</f>
        <v>0.98</v>
      </c>
      <c r="AG17" s="19">
        <f>((TrimmedData!J95-TrimmedData!I95)+(TrimmedData!K95-TrimmedData!J95)+(TrimmedData!L95-TrimmedData!K95)+(TrimmedData!M95-TrimmedData!L95)+(TrimmedData!N95-TrimmedData!M95))/5</f>
        <v>-2.8000000000000004E-2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s="3" customFormat="1" ht="12" customHeight="1" x14ac:dyDescent="0.2">
      <c r="A18" s="27">
        <v>43509</v>
      </c>
      <c r="B18" s="1" t="s">
        <v>155</v>
      </c>
      <c r="C18" s="1" t="s">
        <v>15</v>
      </c>
      <c r="D18" s="23">
        <v>1961</v>
      </c>
      <c r="E18" s="38">
        <v>1</v>
      </c>
      <c r="F18" s="23">
        <v>24</v>
      </c>
      <c r="G18" s="23">
        <v>24</v>
      </c>
      <c r="H18" s="23" t="s">
        <v>17</v>
      </c>
      <c r="I18" s="23" t="s">
        <v>432</v>
      </c>
      <c r="J18" s="23" t="s">
        <v>432</v>
      </c>
      <c r="K18" s="23">
        <f t="shared" si="0"/>
        <v>22</v>
      </c>
      <c r="L18" s="23">
        <f t="shared" si="1"/>
        <v>4</v>
      </c>
      <c r="M18" s="23">
        <v>0</v>
      </c>
      <c r="N18" s="23">
        <v>1</v>
      </c>
      <c r="O18" s="23">
        <v>1</v>
      </c>
      <c r="P18" s="23" t="s">
        <v>18</v>
      </c>
      <c r="Q18" s="23" t="s">
        <v>106</v>
      </c>
      <c r="R18" s="23">
        <f t="shared" si="2"/>
        <v>1</v>
      </c>
      <c r="S18" s="23" t="s">
        <v>31</v>
      </c>
      <c r="T18" s="22" t="s">
        <v>342</v>
      </c>
      <c r="U18" s="23">
        <f t="shared" si="3"/>
        <v>1</v>
      </c>
      <c r="V18" s="22">
        <v>48</v>
      </c>
      <c r="W18" s="23">
        <f t="shared" si="4"/>
        <v>1152</v>
      </c>
      <c r="X18" s="23">
        <v>6</v>
      </c>
      <c r="Y18" s="38">
        <f>TrimmedData!I96</f>
        <v>0.01</v>
      </c>
      <c r="Z18" s="23" t="s">
        <v>19</v>
      </c>
      <c r="AA18" s="23">
        <v>18</v>
      </c>
      <c r="AB18" s="23" t="str">
        <f t="shared" si="5"/>
        <v>1</v>
      </c>
      <c r="AC18" s="19">
        <f>AVERAGE(TrimmedData!I96:N96)</f>
        <v>8.0016666666666669</v>
      </c>
      <c r="AD18" s="23" t="str">
        <f t="shared" si="6"/>
        <v>1</v>
      </c>
      <c r="AE18" s="38">
        <f t="shared" si="7"/>
        <v>17.989999999999998</v>
      </c>
      <c r="AF18" s="41">
        <f>TrimmedData!I97</f>
        <v>0.93</v>
      </c>
      <c r="AG18" s="19">
        <f>((TrimmedData!J97-TrimmedData!I97)+(TrimmedData!K97-TrimmedData!J97)+(TrimmedData!L97-TrimmedData!K97)+(TrimmedData!M97-TrimmedData!L97)+(TrimmedData!N97-TrimmedData!M97))/5</f>
        <v>-0.14000000000000001</v>
      </c>
    </row>
    <row r="19" spans="1:118" s="3" customFormat="1" ht="12" customHeight="1" x14ac:dyDescent="0.2">
      <c r="A19" s="27">
        <v>43509</v>
      </c>
      <c r="B19" s="1" t="s">
        <v>155</v>
      </c>
      <c r="C19" s="1" t="s">
        <v>15</v>
      </c>
      <c r="D19" s="23">
        <v>1961</v>
      </c>
      <c r="E19" s="38">
        <v>2</v>
      </c>
      <c r="F19" s="23">
        <v>24</v>
      </c>
      <c r="G19" s="23">
        <v>24</v>
      </c>
      <c r="H19" s="23" t="s">
        <v>20</v>
      </c>
      <c r="I19" s="23">
        <v>0</v>
      </c>
      <c r="J19" s="23" t="s">
        <v>12</v>
      </c>
      <c r="K19" s="23">
        <f t="shared" si="0"/>
        <v>9</v>
      </c>
      <c r="L19" s="23">
        <f t="shared" si="1"/>
        <v>2</v>
      </c>
      <c r="M19" s="23">
        <v>0</v>
      </c>
      <c r="N19" s="23">
        <v>1</v>
      </c>
      <c r="O19" s="23">
        <v>1</v>
      </c>
      <c r="P19" s="23" t="s">
        <v>18</v>
      </c>
      <c r="Q19" s="23" t="s">
        <v>106</v>
      </c>
      <c r="R19" s="23">
        <f t="shared" si="2"/>
        <v>1</v>
      </c>
      <c r="S19" s="23" t="s">
        <v>31</v>
      </c>
      <c r="T19" s="22" t="s">
        <v>342</v>
      </c>
      <c r="U19" s="23">
        <f t="shared" si="3"/>
        <v>1</v>
      </c>
      <c r="V19" s="22">
        <v>48</v>
      </c>
      <c r="W19" s="23">
        <f t="shared" si="4"/>
        <v>1152</v>
      </c>
      <c r="X19" s="23">
        <v>6</v>
      </c>
      <c r="Y19" s="38">
        <f>TrimmedData!I98</f>
        <v>0.01</v>
      </c>
      <c r="Z19" s="23" t="s">
        <v>19</v>
      </c>
      <c r="AA19" s="23">
        <v>18</v>
      </c>
      <c r="AB19" s="23" t="str">
        <f t="shared" si="5"/>
        <v>1</v>
      </c>
      <c r="AC19" s="19">
        <f>AVERAGE(TrimmedData!I98:BN98)</f>
        <v>8.0016666666666669</v>
      </c>
      <c r="AD19" s="23" t="str">
        <f t="shared" si="6"/>
        <v>1</v>
      </c>
      <c r="AE19" s="38">
        <f t="shared" si="7"/>
        <v>17.989999999999998</v>
      </c>
      <c r="AF19" s="41">
        <f>TrimmedData!I99</f>
        <v>1</v>
      </c>
      <c r="AG19" s="19">
        <f>((TrimmedData!J99-TrimmedData!I99)+(TrimmedData!K99-TrimmedData!J99)+(TrimmedData!L99-TrimmedData!K99)+(TrimmedData!M99-TrimmedData!L99)+(TrimmedData!N99-TrimmedData!M99))/5</f>
        <v>-1.7999999999999995E-2</v>
      </c>
    </row>
    <row r="20" spans="1:118" s="3" customFormat="1" ht="12" customHeight="1" x14ac:dyDescent="0.2">
      <c r="A20" s="27">
        <v>43509</v>
      </c>
      <c r="B20" s="1" t="s">
        <v>155</v>
      </c>
      <c r="C20" s="1" t="s">
        <v>15</v>
      </c>
      <c r="D20" s="23">
        <v>1961</v>
      </c>
      <c r="E20" s="38">
        <v>2</v>
      </c>
      <c r="F20" s="23">
        <v>24</v>
      </c>
      <c r="G20" s="23">
        <v>24</v>
      </c>
      <c r="H20" s="23" t="s">
        <v>20</v>
      </c>
      <c r="I20" s="23">
        <v>3</v>
      </c>
      <c r="J20" s="23" t="s">
        <v>12</v>
      </c>
      <c r="K20" s="23">
        <f t="shared" si="0"/>
        <v>9</v>
      </c>
      <c r="L20" s="23">
        <f t="shared" si="1"/>
        <v>2</v>
      </c>
      <c r="M20" s="23">
        <v>0</v>
      </c>
      <c r="N20" s="23">
        <v>1</v>
      </c>
      <c r="O20" s="23">
        <v>1</v>
      </c>
      <c r="P20" s="23" t="s">
        <v>18</v>
      </c>
      <c r="Q20" s="23" t="s">
        <v>106</v>
      </c>
      <c r="R20" s="23">
        <f t="shared" si="2"/>
        <v>1</v>
      </c>
      <c r="S20" s="23" t="s">
        <v>31</v>
      </c>
      <c r="T20" s="22" t="s">
        <v>342</v>
      </c>
      <c r="U20" s="23">
        <f t="shared" si="3"/>
        <v>1</v>
      </c>
      <c r="V20" s="22">
        <v>48</v>
      </c>
      <c r="W20" s="23">
        <f t="shared" si="4"/>
        <v>1152</v>
      </c>
      <c r="X20" s="23">
        <v>6</v>
      </c>
      <c r="Y20" s="38">
        <f>TrimmedData!I100</f>
        <v>0.01</v>
      </c>
      <c r="Z20" s="23" t="s">
        <v>19</v>
      </c>
      <c r="AA20" s="23">
        <v>18</v>
      </c>
      <c r="AB20" s="23" t="str">
        <f t="shared" si="5"/>
        <v>1</v>
      </c>
      <c r="AC20" s="19">
        <f>AVERAGE(TrimmedData!I100:BN100)</f>
        <v>8.0016666666666669</v>
      </c>
      <c r="AD20" s="23" t="str">
        <f t="shared" si="6"/>
        <v>1</v>
      </c>
      <c r="AE20" s="38">
        <f t="shared" si="7"/>
        <v>17.989999999999998</v>
      </c>
      <c r="AF20" s="41">
        <f>TrimmedData!I101</f>
        <v>1</v>
      </c>
      <c r="AG20" s="19">
        <f>((TrimmedData!J101-TrimmedData!I101)+(TrimmedData!K101-TrimmedData!J101)+(TrimmedData!L101-TrimmedData!K101)+(TrimmedData!M101-TrimmedData!L101)+(TrimmedData!N101-TrimmedData!M101))/5</f>
        <v>-3.6000000000000011E-2</v>
      </c>
    </row>
    <row r="21" spans="1:118" s="3" customFormat="1" ht="12" customHeight="1" x14ac:dyDescent="0.2">
      <c r="A21" s="27">
        <v>43509</v>
      </c>
      <c r="B21" s="1" t="s">
        <v>155</v>
      </c>
      <c r="C21" s="1" t="s">
        <v>15</v>
      </c>
      <c r="D21" s="23">
        <v>1961</v>
      </c>
      <c r="E21" s="38">
        <v>2</v>
      </c>
      <c r="F21" s="23">
        <v>24</v>
      </c>
      <c r="G21" s="23">
        <v>24</v>
      </c>
      <c r="H21" s="23" t="s">
        <v>20</v>
      </c>
      <c r="I21" s="23">
        <v>6</v>
      </c>
      <c r="J21" s="23" t="s">
        <v>12</v>
      </c>
      <c r="K21" s="23">
        <f t="shared" si="0"/>
        <v>9</v>
      </c>
      <c r="L21" s="23">
        <f t="shared" si="1"/>
        <v>2</v>
      </c>
      <c r="M21" s="23">
        <v>0</v>
      </c>
      <c r="N21" s="23">
        <v>1</v>
      </c>
      <c r="O21" s="23">
        <v>1</v>
      </c>
      <c r="P21" s="23" t="s">
        <v>18</v>
      </c>
      <c r="Q21" s="23" t="s">
        <v>106</v>
      </c>
      <c r="R21" s="23">
        <f t="shared" si="2"/>
        <v>1</v>
      </c>
      <c r="S21" s="23" t="s">
        <v>31</v>
      </c>
      <c r="T21" s="22" t="s">
        <v>342</v>
      </c>
      <c r="U21" s="23">
        <f t="shared" si="3"/>
        <v>1</v>
      </c>
      <c r="V21" s="22">
        <v>48</v>
      </c>
      <c r="W21" s="23">
        <f t="shared" si="4"/>
        <v>1152</v>
      </c>
      <c r="X21" s="23">
        <v>6</v>
      </c>
      <c r="Y21" s="38">
        <f>TrimmedData!I102</f>
        <v>0.01</v>
      </c>
      <c r="Z21" s="23" t="s">
        <v>19</v>
      </c>
      <c r="AA21" s="23">
        <v>18</v>
      </c>
      <c r="AB21" s="23" t="str">
        <f t="shared" si="5"/>
        <v>1</v>
      </c>
      <c r="AC21" s="19">
        <f>AVERAGE(TrimmedData!I102:BN102)</f>
        <v>8.0016666666666669</v>
      </c>
      <c r="AD21" s="23" t="str">
        <f t="shared" si="6"/>
        <v>1</v>
      </c>
      <c r="AE21" s="38">
        <f t="shared" si="7"/>
        <v>17.989999999999998</v>
      </c>
      <c r="AF21" s="41">
        <f>TrimmedData!I103</f>
        <v>0.99</v>
      </c>
      <c r="AG21" s="19">
        <f>((TrimmedData!J103-TrimmedData!I103)+(TrimmedData!K103-TrimmedData!J103)+(TrimmedData!L103-TrimmedData!K103)+(TrimmedData!M103-TrimmedData!L103)+(TrimmedData!N103-TrimmedData!M103))/5</f>
        <v>-3.7999999999999992E-2</v>
      </c>
    </row>
    <row r="22" spans="1:118" s="3" customFormat="1" ht="12" customHeight="1" x14ac:dyDescent="0.2">
      <c r="A22" s="27">
        <v>43509</v>
      </c>
      <c r="B22" s="1" t="s">
        <v>155</v>
      </c>
      <c r="C22" s="1" t="s">
        <v>15</v>
      </c>
      <c r="D22" s="23">
        <v>1961</v>
      </c>
      <c r="E22" s="38">
        <v>2</v>
      </c>
      <c r="F22" s="23">
        <v>24</v>
      </c>
      <c r="G22" s="23">
        <v>24</v>
      </c>
      <c r="H22" s="23" t="s">
        <v>20</v>
      </c>
      <c r="I22" s="23">
        <v>9</v>
      </c>
      <c r="J22" s="23" t="s">
        <v>12</v>
      </c>
      <c r="K22" s="23">
        <f t="shared" si="0"/>
        <v>9</v>
      </c>
      <c r="L22" s="23">
        <f t="shared" si="1"/>
        <v>2</v>
      </c>
      <c r="M22" s="23">
        <v>0</v>
      </c>
      <c r="N22" s="23">
        <v>1</v>
      </c>
      <c r="O22" s="23">
        <v>1</v>
      </c>
      <c r="P22" s="23" t="s">
        <v>18</v>
      </c>
      <c r="Q22" s="23" t="s">
        <v>106</v>
      </c>
      <c r="R22" s="23">
        <f t="shared" si="2"/>
        <v>1</v>
      </c>
      <c r="S22" s="23" t="s">
        <v>31</v>
      </c>
      <c r="T22" s="22" t="s">
        <v>342</v>
      </c>
      <c r="U22" s="23">
        <f t="shared" si="3"/>
        <v>1</v>
      </c>
      <c r="V22" s="22">
        <v>48</v>
      </c>
      <c r="W22" s="23">
        <f t="shared" si="4"/>
        <v>1152</v>
      </c>
      <c r="X22" s="23">
        <v>6</v>
      </c>
      <c r="Y22" s="38">
        <f>TrimmedData!I104</f>
        <v>0.01</v>
      </c>
      <c r="Z22" s="23" t="s">
        <v>19</v>
      </c>
      <c r="AA22" s="23">
        <v>18</v>
      </c>
      <c r="AB22" s="23" t="str">
        <f t="shared" si="5"/>
        <v>1</v>
      </c>
      <c r="AC22" s="19">
        <f>AVERAGE(TrimmedData!I104:BN104)</f>
        <v>8.0016666666666669</v>
      </c>
      <c r="AD22" s="23" t="str">
        <f t="shared" si="6"/>
        <v>1</v>
      </c>
      <c r="AE22" s="38">
        <f t="shared" si="7"/>
        <v>17.989999999999998</v>
      </c>
      <c r="AF22" s="41">
        <f>TrimmedData!I105</f>
        <v>0.99</v>
      </c>
      <c r="AG22" s="19">
        <f>((TrimmedData!J105-TrimmedData!I105)+(TrimmedData!K105-TrimmedData!J105)+(TrimmedData!L105-TrimmedData!K105)+(TrimmedData!M105-TrimmedData!L105)+(TrimmedData!N105-TrimmedData!M105))/5</f>
        <v>-3.2000000000000008E-2</v>
      </c>
    </row>
    <row r="23" spans="1:118" s="3" customFormat="1" ht="12" customHeight="1" x14ac:dyDescent="0.2">
      <c r="A23" s="27">
        <v>43509</v>
      </c>
      <c r="B23" s="1" t="s">
        <v>155</v>
      </c>
      <c r="C23" s="1" t="s">
        <v>15</v>
      </c>
      <c r="D23" s="23">
        <v>1961</v>
      </c>
      <c r="E23" s="38">
        <v>2</v>
      </c>
      <c r="F23" s="23">
        <v>24</v>
      </c>
      <c r="G23" s="23">
        <v>24</v>
      </c>
      <c r="H23" s="23" t="s">
        <v>20</v>
      </c>
      <c r="I23" s="23">
        <v>12</v>
      </c>
      <c r="J23" s="23" t="s">
        <v>12</v>
      </c>
      <c r="K23" s="23">
        <f t="shared" si="0"/>
        <v>9</v>
      </c>
      <c r="L23" s="23">
        <f t="shared" si="1"/>
        <v>2</v>
      </c>
      <c r="M23" s="23">
        <v>0</v>
      </c>
      <c r="N23" s="23">
        <v>1</v>
      </c>
      <c r="O23" s="23">
        <v>1</v>
      </c>
      <c r="P23" s="23" t="s">
        <v>18</v>
      </c>
      <c r="Q23" s="23" t="s">
        <v>106</v>
      </c>
      <c r="R23" s="23">
        <f t="shared" si="2"/>
        <v>1</v>
      </c>
      <c r="S23" s="23" t="s">
        <v>31</v>
      </c>
      <c r="T23" s="22" t="s">
        <v>342</v>
      </c>
      <c r="U23" s="23">
        <f t="shared" si="3"/>
        <v>1</v>
      </c>
      <c r="V23" s="22">
        <v>48</v>
      </c>
      <c r="W23" s="23">
        <f t="shared" si="4"/>
        <v>1152</v>
      </c>
      <c r="X23" s="23">
        <v>6</v>
      </c>
      <c r="Y23" s="38">
        <f>TrimmedData!I106</f>
        <v>0.01</v>
      </c>
      <c r="Z23" s="23" t="s">
        <v>19</v>
      </c>
      <c r="AA23" s="23">
        <v>18</v>
      </c>
      <c r="AB23" s="23" t="str">
        <f t="shared" si="5"/>
        <v>1</v>
      </c>
      <c r="AC23" s="19">
        <f>AVERAGE(TrimmedData!I106:BN106)</f>
        <v>8.0016666666666669</v>
      </c>
      <c r="AD23" s="23" t="str">
        <f t="shared" si="6"/>
        <v>1</v>
      </c>
      <c r="AE23" s="38">
        <f t="shared" si="7"/>
        <v>17.989999999999998</v>
      </c>
      <c r="AF23" s="41">
        <f>TrimmedData!I107</f>
        <v>0.97</v>
      </c>
      <c r="AG23" s="19">
        <f>((TrimmedData!J107-TrimmedData!I107)+(TrimmedData!K107-TrimmedData!J107)+(TrimmedData!L107-TrimmedData!K107)+(TrimmedData!M107-TrimmedData!L107)+(TrimmedData!N107-TrimmedData!M107))/5</f>
        <v>-3.0000000000000006E-2</v>
      </c>
    </row>
    <row r="24" spans="1:118" s="3" customFormat="1" ht="12" customHeight="1" x14ac:dyDescent="0.2">
      <c r="A24" s="27">
        <v>43509</v>
      </c>
      <c r="B24" s="1" t="s">
        <v>21</v>
      </c>
      <c r="C24" s="1" t="s">
        <v>15</v>
      </c>
      <c r="D24" s="23">
        <v>1959</v>
      </c>
      <c r="E24" s="38">
        <v>1</v>
      </c>
      <c r="F24" s="23">
        <v>24</v>
      </c>
      <c r="G24" s="23">
        <v>24</v>
      </c>
      <c r="H24" s="23" t="s">
        <v>22</v>
      </c>
      <c r="I24" s="23"/>
      <c r="J24" s="23" t="s">
        <v>273</v>
      </c>
      <c r="K24" s="23">
        <f t="shared" si="0"/>
        <v>2</v>
      </c>
      <c r="L24" s="23">
        <f t="shared" si="1"/>
        <v>1</v>
      </c>
      <c r="M24" s="23">
        <v>0</v>
      </c>
      <c r="N24" s="23">
        <v>1</v>
      </c>
      <c r="O24" s="23">
        <v>1</v>
      </c>
      <c r="P24" s="23" t="s">
        <v>18</v>
      </c>
      <c r="Q24" s="23" t="s">
        <v>106</v>
      </c>
      <c r="R24" s="23">
        <f t="shared" si="2"/>
        <v>1</v>
      </c>
      <c r="S24" s="23" t="s">
        <v>31</v>
      </c>
      <c r="T24" s="22" t="s">
        <v>342</v>
      </c>
      <c r="U24" s="23">
        <f t="shared" si="3"/>
        <v>1</v>
      </c>
      <c r="V24" s="22">
        <v>48</v>
      </c>
      <c r="W24" s="23">
        <f t="shared" si="4"/>
        <v>1152</v>
      </c>
      <c r="X24" s="23">
        <v>6</v>
      </c>
      <c r="Y24" s="38">
        <f>TrimmedData!I108</f>
        <v>3</v>
      </c>
      <c r="Z24" s="23" t="s">
        <v>19</v>
      </c>
      <c r="AA24" s="23">
        <v>18</v>
      </c>
      <c r="AB24" s="23" t="str">
        <f t="shared" si="5"/>
        <v>1</v>
      </c>
      <c r="AC24" s="19">
        <f>AVERAGE(TrimmedData!I108:N108)</f>
        <v>10.5</v>
      </c>
      <c r="AD24" s="23" t="str">
        <f t="shared" si="6"/>
        <v>1</v>
      </c>
      <c r="AE24" s="38">
        <f t="shared" si="7"/>
        <v>15</v>
      </c>
      <c r="AF24" s="41">
        <f>TrimmedData!I109</f>
        <v>0.53</v>
      </c>
      <c r="AG24" s="19">
        <f>((TrimmedData!J109-TrimmedData!I109)+(TrimmedData!K109-TrimmedData!J109)+(TrimmedData!L109-TrimmedData!K109)+(TrimmedData!M109-TrimmedData!L109)+(TrimmedData!N109-TrimmedData!M109))/5</f>
        <v>-9.6000000000000002E-2</v>
      </c>
    </row>
    <row r="25" spans="1:118" s="3" customFormat="1" ht="12" customHeight="1" x14ac:dyDescent="0.2">
      <c r="A25" s="27">
        <v>43509</v>
      </c>
      <c r="B25" s="32" t="s">
        <v>97</v>
      </c>
      <c r="C25" s="32" t="s">
        <v>50</v>
      </c>
      <c r="D25" s="31">
        <v>1983</v>
      </c>
      <c r="E25" s="44">
        <v>2</v>
      </c>
      <c r="F25" s="31">
        <v>144</v>
      </c>
      <c r="G25" s="31">
        <v>24</v>
      </c>
      <c r="H25" s="31" t="s">
        <v>32</v>
      </c>
      <c r="I25" s="31" t="s">
        <v>439</v>
      </c>
      <c r="J25" s="31" t="s">
        <v>190</v>
      </c>
      <c r="K25" s="31">
        <f t="shared" si="0"/>
        <v>21</v>
      </c>
      <c r="L25" s="31">
        <f t="shared" si="1"/>
        <v>4</v>
      </c>
      <c r="M25" s="31">
        <v>0</v>
      </c>
      <c r="N25" s="31">
        <v>1</v>
      </c>
      <c r="O25" s="31">
        <v>1</v>
      </c>
      <c r="P25" s="31" t="s">
        <v>98</v>
      </c>
      <c r="Q25" s="31" t="s">
        <v>45</v>
      </c>
      <c r="R25" s="31">
        <f t="shared" si="2"/>
        <v>2</v>
      </c>
      <c r="S25" s="31" t="s">
        <v>31</v>
      </c>
      <c r="T25" s="31" t="s">
        <v>163</v>
      </c>
      <c r="U25" s="31">
        <f t="shared" si="3"/>
        <v>0</v>
      </c>
      <c r="V25" s="31">
        <v>24</v>
      </c>
      <c r="W25" s="31">
        <f t="shared" si="4"/>
        <v>3456</v>
      </c>
      <c r="X25" s="31">
        <v>6</v>
      </c>
      <c r="Y25" s="44">
        <f>TrimmedData!I110</f>
        <v>1200</v>
      </c>
      <c r="Z25" s="31" t="s">
        <v>99</v>
      </c>
      <c r="AA25" s="31">
        <v>1814400</v>
      </c>
      <c r="AB25" s="31" t="str">
        <f t="shared" si="5"/>
        <v>4</v>
      </c>
      <c r="AC25" s="34">
        <f>AVERAGE(TrimmedData!I110:N110)</f>
        <v>436400</v>
      </c>
      <c r="AD25" s="31" t="str">
        <f t="shared" si="6"/>
        <v>3</v>
      </c>
      <c r="AE25" s="44">
        <f t="shared" si="7"/>
        <v>1813200</v>
      </c>
      <c r="AF25" s="45">
        <f>TrimmedData!I111</f>
        <v>0.98</v>
      </c>
      <c r="AG25" s="19">
        <f>((TrimmedData!J111-TrimmedData!I111)+(TrimmedData!K111-TrimmedData!J111)+(TrimmedData!L111-TrimmedData!K111)+(TrimmedData!M111-TrimmedData!L111)+(TrimmedData!N111-TrimmedData!M111))/5</f>
        <v>-8.2000000000000003E-2</v>
      </c>
    </row>
    <row r="26" spans="1:118" s="3" customFormat="1" ht="12" customHeight="1" x14ac:dyDescent="0.2">
      <c r="A26" s="27">
        <v>43509</v>
      </c>
      <c r="B26" s="32" t="s">
        <v>97</v>
      </c>
      <c r="C26" s="32" t="s">
        <v>50</v>
      </c>
      <c r="D26" s="31">
        <v>1983</v>
      </c>
      <c r="E26" s="44">
        <v>2</v>
      </c>
      <c r="F26" s="31">
        <v>144</v>
      </c>
      <c r="G26" s="31">
        <v>24</v>
      </c>
      <c r="H26" s="31" t="s">
        <v>32</v>
      </c>
      <c r="I26" s="31" t="s">
        <v>440</v>
      </c>
      <c r="J26" s="31" t="s">
        <v>190</v>
      </c>
      <c r="K26" s="31">
        <f t="shared" si="0"/>
        <v>21</v>
      </c>
      <c r="L26" s="31">
        <f t="shared" si="1"/>
        <v>4</v>
      </c>
      <c r="M26" s="31">
        <v>1</v>
      </c>
      <c r="N26" s="31">
        <v>2</v>
      </c>
      <c r="O26" s="31">
        <v>1</v>
      </c>
      <c r="P26" s="31" t="s">
        <v>98</v>
      </c>
      <c r="Q26" s="31" t="s">
        <v>45</v>
      </c>
      <c r="R26" s="31">
        <f t="shared" si="2"/>
        <v>2</v>
      </c>
      <c r="S26" s="31" t="s">
        <v>31</v>
      </c>
      <c r="T26" s="31" t="s">
        <v>163</v>
      </c>
      <c r="U26" s="31">
        <f t="shared" si="3"/>
        <v>0</v>
      </c>
      <c r="V26" s="31">
        <v>24</v>
      </c>
      <c r="W26" s="31">
        <f t="shared" si="4"/>
        <v>3456</v>
      </c>
      <c r="X26" s="31">
        <v>6</v>
      </c>
      <c r="Y26" s="44">
        <f>TrimmedData!I112</f>
        <v>1200</v>
      </c>
      <c r="Z26" s="31" t="s">
        <v>99</v>
      </c>
      <c r="AA26" s="31">
        <v>1814400</v>
      </c>
      <c r="AB26" s="31" t="str">
        <f t="shared" si="5"/>
        <v>4</v>
      </c>
      <c r="AC26" s="34">
        <f>AVERAGE(TrimmedData!I112:N112)</f>
        <v>436400</v>
      </c>
      <c r="AD26" s="31" t="str">
        <f t="shared" si="6"/>
        <v>3</v>
      </c>
      <c r="AE26" s="44">
        <f t="shared" si="7"/>
        <v>1813200</v>
      </c>
      <c r="AF26" s="45">
        <f>TrimmedData!I113</f>
        <v>1</v>
      </c>
      <c r="AG26" s="19">
        <f>((TrimmedData!J113-TrimmedData!I113)+(TrimmedData!K113-TrimmedData!J113)+(TrimmedData!L113-TrimmedData!K113)+(TrimmedData!M113-TrimmedData!L113)+(TrimmedData!N113-TrimmedData!M113))/5</f>
        <v>-0.13399999999999998</v>
      </c>
    </row>
    <row r="27" spans="1:118" s="3" customFormat="1" ht="12" customHeight="1" x14ac:dyDescent="0.2">
      <c r="A27" s="27">
        <v>43509</v>
      </c>
      <c r="B27" s="32" t="s">
        <v>97</v>
      </c>
      <c r="C27" s="32" t="s">
        <v>50</v>
      </c>
      <c r="D27" s="31">
        <v>1983</v>
      </c>
      <c r="E27" s="44">
        <v>2</v>
      </c>
      <c r="F27" s="31">
        <v>144</v>
      </c>
      <c r="G27" s="31">
        <v>24</v>
      </c>
      <c r="H27" s="31" t="s">
        <v>32</v>
      </c>
      <c r="I27" s="31" t="s">
        <v>441</v>
      </c>
      <c r="J27" s="31" t="s">
        <v>190</v>
      </c>
      <c r="K27" s="31">
        <f t="shared" si="0"/>
        <v>21</v>
      </c>
      <c r="L27" s="31">
        <f t="shared" si="1"/>
        <v>4</v>
      </c>
      <c r="M27" s="31">
        <v>0</v>
      </c>
      <c r="N27" s="31">
        <v>1</v>
      </c>
      <c r="O27" s="31">
        <v>1</v>
      </c>
      <c r="P27" s="31" t="s">
        <v>98</v>
      </c>
      <c r="Q27" s="31" t="s">
        <v>45</v>
      </c>
      <c r="R27" s="31">
        <f t="shared" si="2"/>
        <v>2</v>
      </c>
      <c r="S27" s="31" t="s">
        <v>31</v>
      </c>
      <c r="T27" s="31" t="s">
        <v>163</v>
      </c>
      <c r="U27" s="31">
        <f t="shared" si="3"/>
        <v>0</v>
      </c>
      <c r="V27" s="31">
        <v>24</v>
      </c>
      <c r="W27" s="31">
        <f t="shared" si="4"/>
        <v>3456</v>
      </c>
      <c r="X27" s="31">
        <v>6</v>
      </c>
      <c r="Y27" s="44">
        <f>TrimmedData!I114</f>
        <v>1200</v>
      </c>
      <c r="Z27" s="31" t="s">
        <v>99</v>
      </c>
      <c r="AA27" s="31">
        <v>1814400</v>
      </c>
      <c r="AB27" s="31" t="str">
        <f t="shared" si="5"/>
        <v>4</v>
      </c>
      <c r="AC27" s="34">
        <f>AVERAGE(TrimmedData!I114:N114)</f>
        <v>436400</v>
      </c>
      <c r="AD27" s="31" t="str">
        <f>IF(AC27&lt;60,"1",IF(AC27&lt;=43200,"2",IF(AC27&lt;=777600,"3","4")))</f>
        <v>3</v>
      </c>
      <c r="AE27" s="44">
        <f t="shared" si="7"/>
        <v>1813200</v>
      </c>
      <c r="AF27" s="45">
        <f>TrimmedData!I115</f>
        <v>0.74</v>
      </c>
      <c r="AG27" s="19">
        <f>((TrimmedData!J115-TrimmedData!I115)+(TrimmedData!K115-TrimmedData!J115)+(TrimmedData!L115-TrimmedData!K115)+(TrimmedData!M115-TrimmedData!L115)+(TrimmedData!N115-TrimmedData!M115))/5</f>
        <v>-0.10400000000000001</v>
      </c>
    </row>
    <row r="28" spans="1:118" s="3" customFormat="1" ht="12" customHeight="1" x14ac:dyDescent="0.2">
      <c r="A28" s="27">
        <v>43509</v>
      </c>
      <c r="B28" s="32" t="s">
        <v>97</v>
      </c>
      <c r="C28" s="32" t="s">
        <v>50</v>
      </c>
      <c r="D28" s="31">
        <v>1983</v>
      </c>
      <c r="E28" s="44">
        <v>2</v>
      </c>
      <c r="F28" s="31">
        <v>144</v>
      </c>
      <c r="G28" s="31">
        <v>24</v>
      </c>
      <c r="H28" s="31" t="s">
        <v>32</v>
      </c>
      <c r="I28" s="31" t="s">
        <v>442</v>
      </c>
      <c r="J28" s="31" t="s">
        <v>190</v>
      </c>
      <c r="K28" s="31">
        <f t="shared" si="0"/>
        <v>21</v>
      </c>
      <c r="L28" s="31">
        <f t="shared" si="1"/>
        <v>4</v>
      </c>
      <c r="M28" s="31">
        <v>1</v>
      </c>
      <c r="N28" s="31">
        <v>2</v>
      </c>
      <c r="O28" s="31">
        <v>1</v>
      </c>
      <c r="P28" s="31" t="s">
        <v>98</v>
      </c>
      <c r="Q28" s="31" t="s">
        <v>45</v>
      </c>
      <c r="R28" s="31">
        <f t="shared" si="2"/>
        <v>2</v>
      </c>
      <c r="S28" s="31" t="s">
        <v>31</v>
      </c>
      <c r="T28" s="31" t="s">
        <v>163</v>
      </c>
      <c r="U28" s="31">
        <f t="shared" si="3"/>
        <v>0</v>
      </c>
      <c r="V28" s="31">
        <v>24</v>
      </c>
      <c r="W28" s="31">
        <f t="shared" si="4"/>
        <v>3456</v>
      </c>
      <c r="X28" s="31">
        <v>6</v>
      </c>
      <c r="Y28" s="44">
        <f>TrimmedData!I116</f>
        <v>1200</v>
      </c>
      <c r="Z28" s="31" t="s">
        <v>99</v>
      </c>
      <c r="AA28" s="31">
        <v>1814400</v>
      </c>
      <c r="AB28" s="31" t="str">
        <f t="shared" si="5"/>
        <v>4</v>
      </c>
      <c r="AC28" s="34">
        <f>AVERAGE(TrimmedData!I116:N116)</f>
        <v>436400</v>
      </c>
      <c r="AD28" s="31" t="str">
        <f>IF(AC28&lt;60,"1",IF(AC28&lt;=43200,"2",IF(AC28&lt;=777600,"3","4")))</f>
        <v>3</v>
      </c>
      <c r="AE28" s="44">
        <f t="shared" si="7"/>
        <v>1813200</v>
      </c>
      <c r="AF28" s="45">
        <f>TrimmedData!I117</f>
        <v>0.89</v>
      </c>
      <c r="AG28" s="19">
        <f>((TrimmedData!J117-TrimmedData!I117)+(TrimmedData!K117-TrimmedData!J117)+(TrimmedData!L117-TrimmedData!K117)+(TrimmedData!M117-TrimmedData!L117)+(TrimmedData!N117-TrimmedData!M117))/5</f>
        <v>-0.14399999999999999</v>
      </c>
    </row>
    <row r="29" spans="1:118" s="3" customFormat="1" ht="12" customHeight="1" x14ac:dyDescent="0.2">
      <c r="A29" s="27">
        <v>43900</v>
      </c>
      <c r="B29" s="1" t="s">
        <v>266</v>
      </c>
      <c r="C29" s="1" t="s">
        <v>267</v>
      </c>
      <c r="D29" s="23">
        <v>2012</v>
      </c>
      <c r="E29" s="38">
        <v>1</v>
      </c>
      <c r="F29" s="23">
        <v>58</v>
      </c>
      <c r="G29" s="23">
        <v>58</v>
      </c>
      <c r="H29" s="23" t="s">
        <v>269</v>
      </c>
      <c r="I29" s="23" t="s">
        <v>268</v>
      </c>
      <c r="J29" s="23" t="s">
        <v>186</v>
      </c>
      <c r="K29" s="23">
        <f t="shared" si="0"/>
        <v>10</v>
      </c>
      <c r="L29" s="23">
        <f t="shared" si="1"/>
        <v>2</v>
      </c>
      <c r="M29" s="23">
        <v>0</v>
      </c>
      <c r="N29" s="23">
        <v>1</v>
      </c>
      <c r="O29" s="23">
        <v>1</v>
      </c>
      <c r="P29" s="23" t="s">
        <v>49</v>
      </c>
      <c r="Q29" s="23" t="s">
        <v>23</v>
      </c>
      <c r="R29" s="23">
        <f t="shared" si="2"/>
        <v>3</v>
      </c>
      <c r="S29" s="23" t="s">
        <v>11</v>
      </c>
      <c r="T29" s="22" t="s">
        <v>342</v>
      </c>
      <c r="U29" s="23">
        <f t="shared" si="3"/>
        <v>1</v>
      </c>
      <c r="V29" s="22">
        <v>50</v>
      </c>
      <c r="W29" s="23">
        <f t="shared" si="4"/>
        <v>2900</v>
      </c>
      <c r="X29" s="23">
        <v>5</v>
      </c>
      <c r="Y29" s="38">
        <f>TrimmedData!I134</f>
        <v>900</v>
      </c>
      <c r="Z29" s="23" t="s">
        <v>270</v>
      </c>
      <c r="AA29" s="23">
        <f>60*60*24*91</f>
        <v>7862400</v>
      </c>
      <c r="AB29" s="23" t="str">
        <f t="shared" si="5"/>
        <v>4</v>
      </c>
      <c r="AC29" s="19">
        <f>AVERAGE(TrimmedData!I134:BN134)</f>
        <v>2229300</v>
      </c>
      <c r="AD29" s="23" t="str">
        <f t="shared" si="6"/>
        <v>4</v>
      </c>
      <c r="AE29" s="38">
        <f t="shared" si="7"/>
        <v>7861500</v>
      </c>
      <c r="AF29" s="41">
        <f>TrimmedData!I135</f>
        <v>0.99</v>
      </c>
      <c r="AG29" s="19">
        <f>((TrimmedData!J135-TrimmedData!I135)+(TrimmedData!K135-TrimmedData!J135)+(TrimmedData!L135-TrimmedData!K135)+(TrimmedData!M135-TrimmedData!L135))/4</f>
        <v>-7.5000000000000011E-2</v>
      </c>
    </row>
    <row r="30" spans="1:118" s="3" customFormat="1" ht="12" customHeight="1" x14ac:dyDescent="0.2">
      <c r="A30" s="27">
        <v>43509</v>
      </c>
      <c r="B30" s="1" t="s">
        <v>158</v>
      </c>
      <c r="C30" s="1" t="s">
        <v>30</v>
      </c>
      <c r="D30" s="23">
        <v>1975</v>
      </c>
      <c r="E30" s="38">
        <v>1</v>
      </c>
      <c r="F30" s="23">
        <v>48</v>
      </c>
      <c r="G30" s="23">
        <v>48</v>
      </c>
      <c r="H30" s="23" t="s">
        <v>32</v>
      </c>
      <c r="I30" s="23"/>
      <c r="J30" s="23" t="s">
        <v>273</v>
      </c>
      <c r="K30" s="23">
        <f t="shared" si="0"/>
        <v>2</v>
      </c>
      <c r="L30" s="23">
        <f t="shared" si="1"/>
        <v>1</v>
      </c>
      <c r="M30" s="23">
        <v>0</v>
      </c>
      <c r="N30" s="23">
        <v>1</v>
      </c>
      <c r="O30" s="23">
        <v>1</v>
      </c>
      <c r="P30" s="23" t="s">
        <v>18</v>
      </c>
      <c r="Q30" s="23" t="s">
        <v>106</v>
      </c>
      <c r="R30" s="23">
        <f t="shared" si="2"/>
        <v>1</v>
      </c>
      <c r="S30" s="23" t="s">
        <v>31</v>
      </c>
      <c r="T30" s="22" t="s">
        <v>342</v>
      </c>
      <c r="U30" s="23">
        <f t="shared" si="3"/>
        <v>1</v>
      </c>
      <c r="V30" s="22">
        <v>48</v>
      </c>
      <c r="W30" s="23">
        <f t="shared" si="4"/>
        <v>2304</v>
      </c>
      <c r="X30" s="23">
        <v>6</v>
      </c>
      <c r="Y30" s="38">
        <f>TrimmedData!I136</f>
        <v>1</v>
      </c>
      <c r="Z30" s="23" t="s">
        <v>33</v>
      </c>
      <c r="AA30" s="23">
        <v>25</v>
      </c>
      <c r="AB30" s="23" t="str">
        <f t="shared" si="5"/>
        <v>1</v>
      </c>
      <c r="AC30" s="19">
        <f>AVERAGE(TrimmedData!I136:N136)</f>
        <v>10</v>
      </c>
      <c r="AD30" s="23" t="str">
        <f t="shared" si="6"/>
        <v>1</v>
      </c>
      <c r="AE30" s="38">
        <f t="shared" si="7"/>
        <v>24</v>
      </c>
      <c r="AF30" s="41">
        <f>TrimmedData!I137</f>
        <v>0.91</v>
      </c>
      <c r="AG30" s="19">
        <f>((TrimmedData!J137-TrimmedData!I137)+(TrimmedData!K137-TrimmedData!J137)+(TrimmedData!L137-TrimmedData!K137)+(TrimmedData!M137-TrimmedData!L137)+(TrimmedData!N137-TrimmedData!M137))/5</f>
        <v>-0.12600000000000003</v>
      </c>
    </row>
    <row r="31" spans="1:118" s="3" customFormat="1" ht="12" customHeight="1" x14ac:dyDescent="0.2">
      <c r="A31" s="27">
        <v>43509</v>
      </c>
      <c r="B31" s="1" t="s">
        <v>158</v>
      </c>
      <c r="C31" s="1" t="s">
        <v>30</v>
      </c>
      <c r="D31" s="23">
        <v>1975</v>
      </c>
      <c r="E31" s="38">
        <v>2</v>
      </c>
      <c r="F31" s="23">
        <v>60</v>
      </c>
      <c r="G31" s="23">
        <v>60</v>
      </c>
      <c r="H31" s="23" t="s">
        <v>25</v>
      </c>
      <c r="I31" s="23" t="s">
        <v>448</v>
      </c>
      <c r="J31" s="23" t="s">
        <v>273</v>
      </c>
      <c r="K31" s="23">
        <f t="shared" si="0"/>
        <v>2</v>
      </c>
      <c r="L31" s="23">
        <f t="shared" si="1"/>
        <v>1</v>
      </c>
      <c r="M31" s="23">
        <v>0</v>
      </c>
      <c r="N31" s="23">
        <v>1</v>
      </c>
      <c r="O31" s="23">
        <v>1</v>
      </c>
      <c r="P31" s="23" t="s">
        <v>18</v>
      </c>
      <c r="Q31" s="23" t="s">
        <v>106</v>
      </c>
      <c r="R31" s="23">
        <f t="shared" si="2"/>
        <v>1</v>
      </c>
      <c r="S31" s="23" t="s">
        <v>31</v>
      </c>
      <c r="T31" s="22" t="s">
        <v>342</v>
      </c>
      <c r="U31" s="23">
        <f t="shared" si="3"/>
        <v>1</v>
      </c>
      <c r="V31" s="22">
        <v>48</v>
      </c>
      <c r="W31" s="23">
        <f t="shared" si="4"/>
        <v>2880</v>
      </c>
      <c r="X31" s="23">
        <v>5</v>
      </c>
      <c r="Y31" s="38">
        <f>TrimmedData!I138</f>
        <v>3</v>
      </c>
      <c r="Z31" s="23" t="s">
        <v>34</v>
      </c>
      <c r="AA31" s="23">
        <v>30</v>
      </c>
      <c r="AB31" s="23" t="str">
        <f t="shared" si="5"/>
        <v>1</v>
      </c>
      <c r="AC31" s="19">
        <f>AVERAGE(TrimmedData!I138:M138)</f>
        <v>10.199999999999999</v>
      </c>
      <c r="AD31" s="23" t="str">
        <f t="shared" si="6"/>
        <v>1</v>
      </c>
      <c r="AE31" s="38">
        <f t="shared" si="7"/>
        <v>27</v>
      </c>
      <c r="AF31" s="41">
        <f>TrimmedData!I139</f>
        <v>0.75</v>
      </c>
      <c r="AG31" s="19">
        <f>((TrimmedData!J139-TrimmedData!I139)+(TrimmedData!K139-TrimmedData!J139)+(TrimmedData!L139-TrimmedData!K139)+(TrimmedData!M139-TrimmedData!L139))/4</f>
        <v>-2.4999999999999994E-2</v>
      </c>
      <c r="DN31" s="4"/>
    </row>
    <row r="32" spans="1:118" s="3" customFormat="1" ht="12" customHeight="1" x14ac:dyDescent="0.2">
      <c r="A32" s="27">
        <v>43509</v>
      </c>
      <c r="B32" s="1" t="s">
        <v>158</v>
      </c>
      <c r="C32" s="1" t="s">
        <v>30</v>
      </c>
      <c r="D32" s="23">
        <v>1975</v>
      </c>
      <c r="E32" s="38">
        <v>2</v>
      </c>
      <c r="F32" s="23">
        <v>60</v>
      </c>
      <c r="G32" s="23">
        <v>60</v>
      </c>
      <c r="H32" s="23" t="s">
        <v>25</v>
      </c>
      <c r="I32" s="23" t="s">
        <v>450</v>
      </c>
      <c r="J32" s="23" t="s">
        <v>273</v>
      </c>
      <c r="K32" s="23">
        <f t="shared" si="0"/>
        <v>2</v>
      </c>
      <c r="L32" s="23">
        <f t="shared" si="1"/>
        <v>1</v>
      </c>
      <c r="M32" s="23">
        <v>0</v>
      </c>
      <c r="N32" s="23">
        <v>1</v>
      </c>
      <c r="O32" s="23">
        <v>1</v>
      </c>
      <c r="P32" s="23" t="s">
        <v>18</v>
      </c>
      <c r="Q32" s="23" t="s">
        <v>106</v>
      </c>
      <c r="R32" s="23">
        <f t="shared" si="2"/>
        <v>1</v>
      </c>
      <c r="S32" s="23" t="s">
        <v>31</v>
      </c>
      <c r="T32" s="22" t="s">
        <v>342</v>
      </c>
      <c r="U32" s="23">
        <f t="shared" si="3"/>
        <v>1</v>
      </c>
      <c r="V32" s="22">
        <v>48</v>
      </c>
      <c r="W32" s="23">
        <f t="shared" si="4"/>
        <v>2880</v>
      </c>
      <c r="X32" s="23">
        <v>5</v>
      </c>
      <c r="Y32" s="38">
        <f>TrimmedData!I140</f>
        <v>2</v>
      </c>
      <c r="Z32" s="23" t="s">
        <v>34</v>
      </c>
      <c r="AA32" s="23">
        <v>30</v>
      </c>
      <c r="AB32" s="23" t="str">
        <f t="shared" si="5"/>
        <v>1</v>
      </c>
      <c r="AC32" s="19">
        <f>AVERAGE(TrimmedData!I140:M140)</f>
        <v>10</v>
      </c>
      <c r="AD32" s="23" t="str">
        <f t="shared" si="6"/>
        <v>1</v>
      </c>
      <c r="AE32" s="38">
        <f t="shared" si="7"/>
        <v>28</v>
      </c>
      <c r="AF32" s="41">
        <f>TrimmedData!I141</f>
        <v>0.83</v>
      </c>
      <c r="AG32" s="19">
        <f>((TrimmedData!J141-TrimmedData!I141)+(TrimmedData!K141-TrimmedData!J141)+(TrimmedData!L141-TrimmedData!K141)+(TrimmedData!M141-TrimmedData!L141))/4</f>
        <v>-2.4999999999999994E-2</v>
      </c>
      <c r="DN32" s="4"/>
    </row>
    <row r="33" spans="1:118" s="3" customFormat="1" ht="12" customHeight="1" x14ac:dyDescent="0.2">
      <c r="A33" s="27">
        <v>43509</v>
      </c>
      <c r="B33" s="1" t="s">
        <v>158</v>
      </c>
      <c r="C33" s="1" t="s">
        <v>30</v>
      </c>
      <c r="D33" s="23">
        <v>1975</v>
      </c>
      <c r="E33" s="38">
        <v>3</v>
      </c>
      <c r="F33" s="23">
        <v>60</v>
      </c>
      <c r="G33" s="23">
        <v>60</v>
      </c>
      <c r="H33" s="23" t="s">
        <v>22</v>
      </c>
      <c r="I33" s="23" t="s">
        <v>448</v>
      </c>
      <c r="J33" s="23" t="s">
        <v>273</v>
      </c>
      <c r="K33" s="23">
        <f t="shared" si="0"/>
        <v>2</v>
      </c>
      <c r="L33" s="23">
        <f t="shared" si="1"/>
        <v>1</v>
      </c>
      <c r="M33" s="23">
        <v>0</v>
      </c>
      <c r="N33" s="23">
        <v>1</v>
      </c>
      <c r="O33" s="23">
        <v>1</v>
      </c>
      <c r="P33" s="23" t="s">
        <v>18</v>
      </c>
      <c r="Q33" s="23" t="s">
        <v>106</v>
      </c>
      <c r="R33" s="23">
        <f t="shared" si="2"/>
        <v>1</v>
      </c>
      <c r="S33" s="23" t="s">
        <v>31</v>
      </c>
      <c r="T33" s="22" t="s">
        <v>342</v>
      </c>
      <c r="U33" s="23">
        <f t="shared" si="3"/>
        <v>1</v>
      </c>
      <c r="V33" s="22">
        <v>48</v>
      </c>
      <c r="W33" s="23">
        <f t="shared" si="4"/>
        <v>2880</v>
      </c>
      <c r="X33" s="23">
        <v>5</v>
      </c>
      <c r="Y33" s="38">
        <f>TrimmedData!I142</f>
        <v>2</v>
      </c>
      <c r="Z33" s="23" t="s">
        <v>34</v>
      </c>
      <c r="AA33" s="23">
        <v>30</v>
      </c>
      <c r="AB33" s="23" t="str">
        <f t="shared" si="5"/>
        <v>1</v>
      </c>
      <c r="AC33" s="19">
        <f>AVERAGE(TrimmedData!I142:M142)</f>
        <v>10</v>
      </c>
      <c r="AD33" s="23" t="str">
        <f t="shared" si="6"/>
        <v>1</v>
      </c>
      <c r="AE33" s="38">
        <f t="shared" si="7"/>
        <v>28</v>
      </c>
      <c r="AF33" s="41">
        <f>TrimmedData!I143</f>
        <v>0.69</v>
      </c>
      <c r="AG33" s="19">
        <f>((TrimmedData!J143-TrimmedData!I143)+(TrimmedData!K143-TrimmedData!J143)+(TrimmedData!L143-TrimmedData!K143)+(TrimmedData!M143-TrimmedData!L143))/4</f>
        <v>-3.999999999999998E-2</v>
      </c>
      <c r="DN33" s="4"/>
    </row>
    <row r="34" spans="1:118" s="3" customFormat="1" ht="12" customHeight="1" x14ac:dyDescent="0.2">
      <c r="A34" s="27">
        <v>43509</v>
      </c>
      <c r="B34" s="1" t="s">
        <v>158</v>
      </c>
      <c r="C34" s="1" t="s">
        <v>30</v>
      </c>
      <c r="D34" s="23">
        <v>1975</v>
      </c>
      <c r="E34" s="38">
        <v>3</v>
      </c>
      <c r="F34" s="23">
        <v>60</v>
      </c>
      <c r="G34" s="23">
        <v>60</v>
      </c>
      <c r="H34" s="23" t="s">
        <v>22</v>
      </c>
      <c r="I34" s="23" t="s">
        <v>449</v>
      </c>
      <c r="J34" s="23" t="s">
        <v>273</v>
      </c>
      <c r="K34" s="23">
        <f t="shared" si="0"/>
        <v>2</v>
      </c>
      <c r="L34" s="23">
        <f t="shared" si="1"/>
        <v>1</v>
      </c>
      <c r="M34" s="23">
        <v>0</v>
      </c>
      <c r="N34" s="23">
        <v>1</v>
      </c>
      <c r="O34" s="23">
        <v>1</v>
      </c>
      <c r="P34" s="23" t="s">
        <v>18</v>
      </c>
      <c r="Q34" s="23" t="s">
        <v>106</v>
      </c>
      <c r="R34" s="23">
        <f t="shared" si="2"/>
        <v>1</v>
      </c>
      <c r="S34" s="23" t="s">
        <v>31</v>
      </c>
      <c r="T34" s="22" t="s">
        <v>342</v>
      </c>
      <c r="U34" s="23">
        <f t="shared" si="3"/>
        <v>1</v>
      </c>
      <c r="V34" s="22">
        <v>48</v>
      </c>
      <c r="W34" s="23">
        <f t="shared" si="4"/>
        <v>2880</v>
      </c>
      <c r="X34" s="23">
        <v>5</v>
      </c>
      <c r="Y34" s="38">
        <f>TrimmedData!I144</f>
        <v>2</v>
      </c>
      <c r="Z34" s="23" t="s">
        <v>34</v>
      </c>
      <c r="AA34" s="23">
        <v>30</v>
      </c>
      <c r="AB34" s="23" t="str">
        <f t="shared" si="5"/>
        <v>1</v>
      </c>
      <c r="AC34" s="19">
        <f>AVERAGE(TrimmedData!I144:M144)</f>
        <v>10</v>
      </c>
      <c r="AD34" s="23" t="str">
        <f t="shared" si="6"/>
        <v>1</v>
      </c>
      <c r="AE34" s="38">
        <f t="shared" si="7"/>
        <v>28</v>
      </c>
      <c r="AF34" s="41">
        <f>TrimmedData!I145</f>
        <v>0.91</v>
      </c>
      <c r="AG34" s="19">
        <f>((TrimmedData!J145-TrimmedData!I145)+(TrimmedData!K145-TrimmedData!J145)+(TrimmedData!L145-TrimmedData!K145)+(TrimmedData!M145-TrimmedData!L145))/4</f>
        <v>-0.11750000000000001</v>
      </c>
      <c r="DN34" s="4"/>
    </row>
    <row r="35" spans="1:118" s="3" customFormat="1" ht="12" customHeight="1" x14ac:dyDescent="0.2">
      <c r="A35" s="27">
        <v>43902</v>
      </c>
      <c r="B35" s="1" t="s">
        <v>282</v>
      </c>
      <c r="C35" s="1" t="s">
        <v>81</v>
      </c>
      <c r="D35" s="23">
        <v>1982</v>
      </c>
      <c r="E35" s="38">
        <v>1</v>
      </c>
      <c r="F35" s="23">
        <v>4</v>
      </c>
      <c r="G35" s="23">
        <v>4</v>
      </c>
      <c r="H35" s="23" t="s">
        <v>283</v>
      </c>
      <c r="I35" s="23" t="s">
        <v>197</v>
      </c>
      <c r="J35" s="23" t="s">
        <v>273</v>
      </c>
      <c r="K35" s="23">
        <f t="shared" si="0"/>
        <v>2</v>
      </c>
      <c r="L35" s="23">
        <f t="shared" si="1"/>
        <v>1</v>
      </c>
      <c r="M35" s="23">
        <v>0</v>
      </c>
      <c r="N35" s="24">
        <v>1</v>
      </c>
      <c r="O35" s="23">
        <v>1</v>
      </c>
      <c r="P35" s="23" t="s">
        <v>35</v>
      </c>
      <c r="Q35" s="23" t="s">
        <v>106</v>
      </c>
      <c r="R35" s="23">
        <f t="shared" si="2"/>
        <v>1</v>
      </c>
      <c r="S35" s="23" t="s">
        <v>31</v>
      </c>
      <c r="T35" s="22" t="s">
        <v>342</v>
      </c>
      <c r="U35" s="23">
        <f t="shared" si="3"/>
        <v>1</v>
      </c>
      <c r="V35" s="22">
        <v>50</v>
      </c>
      <c r="W35" s="23">
        <f t="shared" si="4"/>
        <v>200</v>
      </c>
      <c r="X35" s="23">
        <v>5</v>
      </c>
      <c r="Y35" s="38">
        <f>TrimmedData!I146</f>
        <v>0.01</v>
      </c>
      <c r="Z35" s="23" t="s">
        <v>284</v>
      </c>
      <c r="AA35" s="23">
        <v>60</v>
      </c>
      <c r="AB35" s="23" t="str">
        <f t="shared" si="5"/>
        <v>2</v>
      </c>
      <c r="AC35" s="19">
        <f>AVERAGE(TrimmedData!I146:M146)</f>
        <v>21.001999999999999</v>
      </c>
      <c r="AD35" s="23" t="str">
        <f t="shared" si="6"/>
        <v>1</v>
      </c>
      <c r="AE35" s="38">
        <f t="shared" si="7"/>
        <v>59.99</v>
      </c>
      <c r="AF35" s="41">
        <f>TrimmedData!I147</f>
        <v>1</v>
      </c>
      <c r="AG35" s="19">
        <f>((TrimmedData!J147-TrimmedData!I147)+(TrimmedData!K147-TrimmedData!J147)+(TrimmedData!L147-TrimmedData!K147)+(TrimmedData!M147-TrimmedData!L147))/4</f>
        <v>-0.13250000000000001</v>
      </c>
      <c r="DN35" s="4"/>
    </row>
    <row r="36" spans="1:118" s="3" customFormat="1" ht="12" customHeight="1" x14ac:dyDescent="0.2">
      <c r="A36" s="27">
        <v>43902</v>
      </c>
      <c r="B36" s="1" t="s">
        <v>282</v>
      </c>
      <c r="C36" s="1" t="s">
        <v>81</v>
      </c>
      <c r="D36" s="23">
        <v>1982</v>
      </c>
      <c r="E36" s="38">
        <v>1</v>
      </c>
      <c r="F36" s="23">
        <v>4</v>
      </c>
      <c r="G36" s="23">
        <v>4</v>
      </c>
      <c r="H36" s="23" t="s">
        <v>285</v>
      </c>
      <c r="I36" s="23" t="s">
        <v>197</v>
      </c>
      <c r="J36" s="23" t="s">
        <v>273</v>
      </c>
      <c r="K36" s="23">
        <f t="shared" si="0"/>
        <v>2</v>
      </c>
      <c r="L36" s="23">
        <f t="shared" si="1"/>
        <v>1</v>
      </c>
      <c r="M36" s="23">
        <v>0</v>
      </c>
      <c r="N36" s="24">
        <v>1</v>
      </c>
      <c r="O36" s="23">
        <v>1</v>
      </c>
      <c r="P36" s="23" t="s">
        <v>35</v>
      </c>
      <c r="Q36" s="23" t="s">
        <v>106</v>
      </c>
      <c r="R36" s="23">
        <f t="shared" si="2"/>
        <v>1</v>
      </c>
      <c r="S36" s="23" t="s">
        <v>31</v>
      </c>
      <c r="T36" s="22" t="s">
        <v>342</v>
      </c>
      <c r="U36" s="23">
        <f t="shared" si="3"/>
        <v>1</v>
      </c>
      <c r="V36" s="22">
        <v>50</v>
      </c>
      <c r="W36" s="23">
        <f t="shared" si="4"/>
        <v>200</v>
      </c>
      <c r="X36" s="23">
        <v>5</v>
      </c>
      <c r="Y36" s="38">
        <f>TrimmedData!I148</f>
        <v>0.01</v>
      </c>
      <c r="Z36" s="23" t="s">
        <v>284</v>
      </c>
      <c r="AA36" s="23">
        <v>60</v>
      </c>
      <c r="AB36" s="23" t="str">
        <f t="shared" si="5"/>
        <v>2</v>
      </c>
      <c r="AC36" s="19">
        <f>AVERAGE(TrimmedData!I148:M148)</f>
        <v>21.001999999999999</v>
      </c>
      <c r="AD36" s="23" t="str">
        <f t="shared" si="6"/>
        <v>1</v>
      </c>
      <c r="AE36" s="38">
        <f t="shared" si="7"/>
        <v>59.99</v>
      </c>
      <c r="AF36" s="41">
        <f>TrimmedData!I149</f>
        <v>1</v>
      </c>
      <c r="AG36" s="19">
        <f>((TrimmedData!J149-TrimmedData!I149)+(TrimmedData!K149-TrimmedData!J149)+(TrimmedData!L149-TrimmedData!K149)+(TrimmedData!M149-TrimmedData!L149))/4</f>
        <v>-0.13250000000000001</v>
      </c>
    </row>
    <row r="37" spans="1:118" s="3" customFormat="1" ht="12" customHeight="1" x14ac:dyDescent="0.2">
      <c r="A37" s="27">
        <v>43509</v>
      </c>
      <c r="B37" s="1" t="s">
        <v>160</v>
      </c>
      <c r="C37" s="1" t="s">
        <v>28</v>
      </c>
      <c r="D37" s="23">
        <v>2012</v>
      </c>
      <c r="E37" s="38">
        <v>1</v>
      </c>
      <c r="F37" s="23">
        <v>18</v>
      </c>
      <c r="G37" s="23">
        <v>18</v>
      </c>
      <c r="H37" s="23" t="s">
        <v>32</v>
      </c>
      <c r="I37" s="23" t="s">
        <v>451</v>
      </c>
      <c r="J37" s="23" t="s">
        <v>190</v>
      </c>
      <c r="K37" s="23">
        <f t="shared" si="0"/>
        <v>21</v>
      </c>
      <c r="L37" s="23">
        <f t="shared" si="1"/>
        <v>4</v>
      </c>
      <c r="M37" s="23">
        <v>0</v>
      </c>
      <c r="N37" s="23">
        <v>1</v>
      </c>
      <c r="O37" s="23">
        <v>1</v>
      </c>
      <c r="P37" s="23" t="s">
        <v>35</v>
      </c>
      <c r="Q37" s="23" t="s">
        <v>106</v>
      </c>
      <c r="R37" s="23">
        <f t="shared" si="2"/>
        <v>1</v>
      </c>
      <c r="S37" s="23" t="s">
        <v>31</v>
      </c>
      <c r="T37" s="22" t="s">
        <v>342</v>
      </c>
      <c r="U37" s="23">
        <f t="shared" si="3"/>
        <v>1</v>
      </c>
      <c r="V37" s="22">
        <v>35</v>
      </c>
      <c r="W37" s="23">
        <f t="shared" si="4"/>
        <v>630</v>
      </c>
      <c r="X37" s="23">
        <v>5</v>
      </c>
      <c r="Y37" s="38">
        <f>TrimmedData!I150</f>
        <v>2</v>
      </c>
      <c r="Z37" s="23" t="s">
        <v>29</v>
      </c>
      <c r="AA37" s="23">
        <v>32</v>
      </c>
      <c r="AB37" s="23" t="str">
        <f t="shared" si="5"/>
        <v>1</v>
      </c>
      <c r="AC37" s="19">
        <f>AVERAGE(TrimmedData!I150:BN150)</f>
        <v>12.4</v>
      </c>
      <c r="AD37" s="23" t="str">
        <f t="shared" ref="AD37:AD43" si="8">IF(AC37&lt;60,"1",IF(AC37&lt;=43200,"2",IF(AC37&lt;=777600,"3","4")))</f>
        <v>1</v>
      </c>
      <c r="AE37" s="38">
        <f t="shared" si="7"/>
        <v>30</v>
      </c>
      <c r="AF37" s="41">
        <f>TrimmedData!I151</f>
        <v>0.96099999999999997</v>
      </c>
      <c r="AG37" s="19">
        <f>((TrimmedData!J151-TrimmedData!I151)+(TrimmedData!K151-TrimmedData!J151)+(TrimmedData!L151-TrimmedData!K151)+(TrimmedData!M151-TrimmedData!L151))/4</f>
        <v>-3.175E-2</v>
      </c>
    </row>
    <row r="38" spans="1:118" s="3" customFormat="1" ht="12" customHeight="1" x14ac:dyDescent="0.2">
      <c r="A38" s="27">
        <v>43509</v>
      </c>
      <c r="B38" s="1" t="s">
        <v>160</v>
      </c>
      <c r="C38" s="1" t="s">
        <v>28</v>
      </c>
      <c r="D38" s="23">
        <v>2012</v>
      </c>
      <c r="E38" s="38">
        <v>1</v>
      </c>
      <c r="F38" s="23">
        <v>18</v>
      </c>
      <c r="G38" s="23">
        <v>18</v>
      </c>
      <c r="H38" s="23" t="s">
        <v>32</v>
      </c>
      <c r="I38" s="23" t="s">
        <v>452</v>
      </c>
      <c r="J38" s="23" t="s">
        <v>190</v>
      </c>
      <c r="K38" s="23">
        <f t="shared" si="0"/>
        <v>21</v>
      </c>
      <c r="L38" s="23">
        <f t="shared" si="1"/>
        <v>4</v>
      </c>
      <c r="M38" s="23">
        <v>0</v>
      </c>
      <c r="N38" s="23">
        <v>1</v>
      </c>
      <c r="O38" s="23">
        <v>1</v>
      </c>
      <c r="P38" s="23" t="s">
        <v>35</v>
      </c>
      <c r="Q38" s="23" t="s">
        <v>106</v>
      </c>
      <c r="R38" s="23">
        <f t="shared" si="2"/>
        <v>1</v>
      </c>
      <c r="S38" s="23" t="s">
        <v>31</v>
      </c>
      <c r="T38" s="22" t="s">
        <v>342</v>
      </c>
      <c r="U38" s="23">
        <f t="shared" si="3"/>
        <v>1</v>
      </c>
      <c r="V38" s="22">
        <v>35</v>
      </c>
      <c r="W38" s="23">
        <f t="shared" si="4"/>
        <v>630</v>
      </c>
      <c r="X38" s="23">
        <v>5</v>
      </c>
      <c r="Y38" s="38">
        <f>TrimmedData!I152</f>
        <v>2</v>
      </c>
      <c r="Z38" s="23" t="s">
        <v>29</v>
      </c>
      <c r="AA38" s="23">
        <v>32</v>
      </c>
      <c r="AB38" s="23" t="str">
        <f t="shared" si="5"/>
        <v>1</v>
      </c>
      <c r="AC38" s="19">
        <f>AVERAGE(TrimmedData!I152:BN152)</f>
        <v>12.4</v>
      </c>
      <c r="AD38" s="23" t="str">
        <f t="shared" si="8"/>
        <v>1</v>
      </c>
      <c r="AE38" s="38">
        <f t="shared" si="7"/>
        <v>30</v>
      </c>
      <c r="AF38" s="41">
        <f>TrimmedData!I153</f>
        <v>0.9</v>
      </c>
      <c r="AG38" s="19">
        <f>((TrimmedData!J153-TrimmedData!I153)+(TrimmedData!K153-TrimmedData!J153)+(TrimmedData!L153-TrimmedData!K153)+(TrimmedData!M153-TrimmedData!L153))/4</f>
        <v>-4.3250000000000011E-2</v>
      </c>
    </row>
    <row r="39" spans="1:118" s="3" customFormat="1" ht="12" customHeight="1" x14ac:dyDescent="0.2">
      <c r="A39" s="27">
        <v>43509</v>
      </c>
      <c r="B39" s="1" t="s">
        <v>160</v>
      </c>
      <c r="C39" s="1" t="s">
        <v>28</v>
      </c>
      <c r="D39" s="23">
        <v>2012</v>
      </c>
      <c r="E39" s="38">
        <v>1</v>
      </c>
      <c r="F39" s="23">
        <v>18</v>
      </c>
      <c r="G39" s="23">
        <v>18</v>
      </c>
      <c r="H39" s="23" t="s">
        <v>32</v>
      </c>
      <c r="I39" s="23" t="s">
        <v>453</v>
      </c>
      <c r="J39" s="23" t="s">
        <v>190</v>
      </c>
      <c r="K39" s="23">
        <f t="shared" si="0"/>
        <v>21</v>
      </c>
      <c r="L39" s="23">
        <f t="shared" si="1"/>
        <v>4</v>
      </c>
      <c r="M39" s="23">
        <v>0</v>
      </c>
      <c r="N39" s="23">
        <v>1</v>
      </c>
      <c r="O39" s="23">
        <v>1</v>
      </c>
      <c r="P39" s="23" t="s">
        <v>35</v>
      </c>
      <c r="Q39" s="23" t="s">
        <v>106</v>
      </c>
      <c r="R39" s="23">
        <f t="shared" si="2"/>
        <v>1</v>
      </c>
      <c r="S39" s="23" t="s">
        <v>31</v>
      </c>
      <c r="T39" s="22" t="s">
        <v>342</v>
      </c>
      <c r="U39" s="23">
        <f t="shared" si="3"/>
        <v>1</v>
      </c>
      <c r="V39" s="22">
        <v>35</v>
      </c>
      <c r="W39" s="23">
        <f t="shared" si="4"/>
        <v>630</v>
      </c>
      <c r="X39" s="23">
        <v>5</v>
      </c>
      <c r="Y39" s="38">
        <f>TrimmedData!I154</f>
        <v>2</v>
      </c>
      <c r="Z39" s="23" t="s">
        <v>29</v>
      </c>
      <c r="AA39" s="23">
        <v>32</v>
      </c>
      <c r="AB39" s="23" t="str">
        <f t="shared" si="5"/>
        <v>1</v>
      </c>
      <c r="AC39" s="19">
        <f>AVERAGE(TrimmedData!I154:BN154)</f>
        <v>12.4</v>
      </c>
      <c r="AD39" s="23" t="str">
        <f t="shared" si="8"/>
        <v>1</v>
      </c>
      <c r="AE39" s="38">
        <f t="shared" si="7"/>
        <v>30</v>
      </c>
      <c r="AF39" s="41">
        <f>TrimmedData!I155</f>
        <v>0.92800000000000005</v>
      </c>
      <c r="AG39" s="19">
        <f>((TrimmedData!J155-TrimmedData!I155)+(TrimmedData!K155-TrimmedData!J155)+(TrimmedData!L155-TrimmedData!K155)+(TrimmedData!M155-TrimmedData!L155))/4</f>
        <v>-1.9750000000000018E-2</v>
      </c>
    </row>
    <row r="40" spans="1:118" s="3" customFormat="1" ht="12" customHeight="1" x14ac:dyDescent="0.2">
      <c r="A40" s="27">
        <v>43509</v>
      </c>
      <c r="B40" s="1" t="s">
        <v>160</v>
      </c>
      <c r="C40" s="1" t="s">
        <v>28</v>
      </c>
      <c r="D40" s="23">
        <v>2012</v>
      </c>
      <c r="E40" s="38">
        <v>2</v>
      </c>
      <c r="F40" s="23">
        <v>15</v>
      </c>
      <c r="G40" s="23">
        <v>15</v>
      </c>
      <c r="H40" s="23" t="s">
        <v>25</v>
      </c>
      <c r="I40" s="23" t="s">
        <v>451</v>
      </c>
      <c r="J40" s="23" t="s">
        <v>190</v>
      </c>
      <c r="K40" s="23">
        <f t="shared" si="0"/>
        <v>21</v>
      </c>
      <c r="L40" s="23">
        <f t="shared" si="1"/>
        <v>4</v>
      </c>
      <c r="M40" s="23">
        <v>0</v>
      </c>
      <c r="N40" s="23">
        <v>1</v>
      </c>
      <c r="O40" s="23">
        <v>1</v>
      </c>
      <c r="P40" s="23" t="s">
        <v>35</v>
      </c>
      <c r="Q40" s="23" t="s">
        <v>106</v>
      </c>
      <c r="R40" s="23">
        <f t="shared" si="2"/>
        <v>1</v>
      </c>
      <c r="S40" s="23" t="s">
        <v>31</v>
      </c>
      <c r="T40" s="22" t="s">
        <v>342</v>
      </c>
      <c r="U40" s="23">
        <f t="shared" si="3"/>
        <v>1</v>
      </c>
      <c r="V40" s="22">
        <v>25</v>
      </c>
      <c r="W40" s="23">
        <f t="shared" si="4"/>
        <v>375</v>
      </c>
      <c r="X40" s="23">
        <v>5</v>
      </c>
      <c r="Y40" s="38">
        <f>TrimmedData!I156</f>
        <v>2</v>
      </c>
      <c r="Z40" s="23" t="s">
        <v>29</v>
      </c>
      <c r="AA40" s="23">
        <v>32</v>
      </c>
      <c r="AB40" s="23" t="str">
        <f t="shared" si="5"/>
        <v>1</v>
      </c>
      <c r="AC40" s="19">
        <f>AVERAGE(TrimmedData!I156:BN156)</f>
        <v>12.4</v>
      </c>
      <c r="AD40" s="23" t="str">
        <f t="shared" si="8"/>
        <v>1</v>
      </c>
      <c r="AE40" s="38">
        <f t="shared" si="7"/>
        <v>30</v>
      </c>
      <c r="AF40" s="41">
        <f>TrimmedData!I157</f>
        <v>0.98699999999999999</v>
      </c>
      <c r="AG40" s="19">
        <f>((TrimmedData!J157-TrimmedData!I157)+(TrimmedData!K157-TrimmedData!J157)+(TrimmedData!L157-TrimmedData!K157)+(TrimmedData!M157-TrimmedData!L157))/4</f>
        <v>-4.8499999999999988E-2</v>
      </c>
    </row>
    <row r="41" spans="1:118" s="3" customFormat="1" ht="12" customHeight="1" x14ac:dyDescent="0.2">
      <c r="A41" s="27">
        <v>43509</v>
      </c>
      <c r="B41" s="1" t="s">
        <v>160</v>
      </c>
      <c r="C41" s="1" t="s">
        <v>28</v>
      </c>
      <c r="D41" s="23">
        <v>2012</v>
      </c>
      <c r="E41" s="38">
        <v>2</v>
      </c>
      <c r="F41" s="23">
        <v>15</v>
      </c>
      <c r="G41" s="23">
        <v>15</v>
      </c>
      <c r="H41" s="23" t="s">
        <v>25</v>
      </c>
      <c r="I41" s="23" t="s">
        <v>452</v>
      </c>
      <c r="J41" s="23" t="s">
        <v>190</v>
      </c>
      <c r="K41" s="23">
        <f t="shared" si="0"/>
        <v>21</v>
      </c>
      <c r="L41" s="23">
        <f t="shared" si="1"/>
        <v>4</v>
      </c>
      <c r="M41" s="23">
        <v>0</v>
      </c>
      <c r="N41" s="23">
        <v>1</v>
      </c>
      <c r="O41" s="23">
        <v>1</v>
      </c>
      <c r="P41" s="23" t="s">
        <v>35</v>
      </c>
      <c r="Q41" s="23" t="s">
        <v>106</v>
      </c>
      <c r="R41" s="23">
        <f t="shared" si="2"/>
        <v>1</v>
      </c>
      <c r="S41" s="23" t="s">
        <v>31</v>
      </c>
      <c r="T41" s="22" t="s">
        <v>342</v>
      </c>
      <c r="U41" s="23">
        <f t="shared" si="3"/>
        <v>1</v>
      </c>
      <c r="V41" s="22">
        <v>25</v>
      </c>
      <c r="W41" s="23">
        <f t="shared" si="4"/>
        <v>375</v>
      </c>
      <c r="X41" s="23">
        <v>5</v>
      </c>
      <c r="Y41" s="38">
        <f>TrimmedData!I158</f>
        <v>2</v>
      </c>
      <c r="Z41" s="23" t="s">
        <v>29</v>
      </c>
      <c r="AA41" s="23">
        <v>32</v>
      </c>
      <c r="AB41" s="23" t="str">
        <f t="shared" si="5"/>
        <v>1</v>
      </c>
      <c r="AC41" s="19">
        <f>AVERAGE(TrimmedData!I158:BN158)</f>
        <v>12.4</v>
      </c>
      <c r="AD41" s="23" t="str">
        <f t="shared" si="8"/>
        <v>1</v>
      </c>
      <c r="AE41" s="38">
        <f t="shared" si="7"/>
        <v>30</v>
      </c>
      <c r="AF41" s="41">
        <f>TrimmedData!I159</f>
        <v>0.93200000000000005</v>
      </c>
      <c r="AG41" s="19">
        <f>((TrimmedData!J159-TrimmedData!I159)+(TrimmedData!K159-TrimmedData!J159)+(TrimmedData!L159-TrimmedData!K159)+(TrimmedData!M159-TrimmedData!L159))/4</f>
        <v>-0.12150000000000001</v>
      </c>
    </row>
    <row r="42" spans="1:118" ht="12" customHeight="1" x14ac:dyDescent="0.2">
      <c r="A42" s="27">
        <v>43509</v>
      </c>
      <c r="B42" s="1" t="s">
        <v>160</v>
      </c>
      <c r="C42" s="1" t="s">
        <v>28</v>
      </c>
      <c r="D42" s="23">
        <v>2012</v>
      </c>
      <c r="E42" s="38">
        <v>2</v>
      </c>
      <c r="F42" s="23">
        <v>15</v>
      </c>
      <c r="G42" s="23">
        <v>15</v>
      </c>
      <c r="H42" s="23" t="s">
        <v>25</v>
      </c>
      <c r="I42" s="23" t="s">
        <v>454</v>
      </c>
      <c r="J42" s="23" t="s">
        <v>190</v>
      </c>
      <c r="K42" s="23">
        <f t="shared" si="0"/>
        <v>21</v>
      </c>
      <c r="L42" s="23">
        <f t="shared" si="1"/>
        <v>4</v>
      </c>
      <c r="M42" s="23">
        <v>0</v>
      </c>
      <c r="N42" s="23">
        <v>1</v>
      </c>
      <c r="O42" s="23">
        <v>1</v>
      </c>
      <c r="P42" s="23" t="s">
        <v>35</v>
      </c>
      <c r="Q42" s="23" t="s">
        <v>106</v>
      </c>
      <c r="R42" s="23">
        <f t="shared" si="2"/>
        <v>1</v>
      </c>
      <c r="S42" s="23" t="s">
        <v>31</v>
      </c>
      <c r="T42" s="22" t="s">
        <v>342</v>
      </c>
      <c r="U42" s="23">
        <f t="shared" si="3"/>
        <v>1</v>
      </c>
      <c r="V42" s="22">
        <v>25</v>
      </c>
      <c r="W42" s="23">
        <f t="shared" si="4"/>
        <v>375</v>
      </c>
      <c r="X42" s="23">
        <v>5</v>
      </c>
      <c r="Y42" s="38">
        <f>TrimmedData!I160</f>
        <v>2</v>
      </c>
      <c r="Z42" s="23" t="s">
        <v>29</v>
      </c>
      <c r="AA42" s="23">
        <v>32</v>
      </c>
      <c r="AB42" s="23" t="str">
        <f t="shared" si="5"/>
        <v>1</v>
      </c>
      <c r="AC42" s="19">
        <f>AVERAGE(TrimmedData!I160:BN160)</f>
        <v>12.4</v>
      </c>
      <c r="AD42" s="23" t="str">
        <f t="shared" si="8"/>
        <v>1</v>
      </c>
      <c r="AE42" s="38">
        <f t="shared" si="7"/>
        <v>30</v>
      </c>
      <c r="AF42" s="41">
        <f>TrimmedData!I161</f>
        <v>0.92</v>
      </c>
      <c r="AG42" s="19">
        <f>((TrimmedData!J161-TrimmedData!I161)+(TrimmedData!K161-TrimmedData!J161)+(TrimmedData!L161-TrimmedData!K161)+(TrimmedData!M161-TrimmedData!L161))/4</f>
        <v>-4.3500000000000011E-2</v>
      </c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</row>
    <row r="43" spans="1:118" ht="12" customHeight="1" x14ac:dyDescent="0.2">
      <c r="A43" s="27">
        <v>43509</v>
      </c>
      <c r="B43" s="1" t="s">
        <v>160</v>
      </c>
      <c r="C43" s="1" t="s">
        <v>28</v>
      </c>
      <c r="D43" s="23">
        <v>2012</v>
      </c>
      <c r="E43" s="38">
        <v>2</v>
      </c>
      <c r="F43" s="23">
        <v>15</v>
      </c>
      <c r="G43" s="23">
        <v>15</v>
      </c>
      <c r="H43" s="23" t="s">
        <v>25</v>
      </c>
      <c r="I43" s="23" t="s">
        <v>455</v>
      </c>
      <c r="J43" s="23" t="s">
        <v>190</v>
      </c>
      <c r="K43" s="23">
        <f t="shared" si="0"/>
        <v>21</v>
      </c>
      <c r="L43" s="23">
        <f t="shared" si="1"/>
        <v>4</v>
      </c>
      <c r="M43" s="23">
        <v>0</v>
      </c>
      <c r="N43" s="23">
        <v>1</v>
      </c>
      <c r="O43" s="23">
        <v>1</v>
      </c>
      <c r="P43" s="23" t="s">
        <v>35</v>
      </c>
      <c r="Q43" s="23" t="s">
        <v>106</v>
      </c>
      <c r="R43" s="23">
        <f t="shared" si="2"/>
        <v>1</v>
      </c>
      <c r="S43" s="23" t="s">
        <v>31</v>
      </c>
      <c r="T43" s="22" t="s">
        <v>342</v>
      </c>
      <c r="U43" s="23">
        <f t="shared" si="3"/>
        <v>1</v>
      </c>
      <c r="V43" s="22">
        <v>25</v>
      </c>
      <c r="W43" s="23">
        <f t="shared" si="4"/>
        <v>375</v>
      </c>
      <c r="X43" s="23">
        <v>5</v>
      </c>
      <c r="Y43" s="38">
        <f>TrimmedData!I162</f>
        <v>2</v>
      </c>
      <c r="Z43" s="23" t="s">
        <v>29</v>
      </c>
      <c r="AA43" s="23">
        <v>32</v>
      </c>
      <c r="AB43" s="23" t="str">
        <f t="shared" si="5"/>
        <v>1</v>
      </c>
      <c r="AC43" s="19">
        <f>AVERAGE(TrimmedData!I162:BN162)</f>
        <v>12.4</v>
      </c>
      <c r="AD43" s="23" t="str">
        <f t="shared" si="8"/>
        <v>1</v>
      </c>
      <c r="AE43" s="38">
        <f t="shared" si="7"/>
        <v>30</v>
      </c>
      <c r="AF43" s="41">
        <f>TrimmedData!I163</f>
        <v>0.95199999999999996</v>
      </c>
      <c r="AG43" s="19">
        <f>((TrimmedData!J163-TrimmedData!I163)+(TrimmedData!K163-TrimmedData!J163)+(TrimmedData!L163-TrimmedData!K163)+(TrimmedData!M163-TrimmedData!L163))/4</f>
        <v>-6.3E-2</v>
      </c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</row>
    <row r="44" spans="1:118" ht="12" customHeight="1" x14ac:dyDescent="0.2">
      <c r="A44" s="27">
        <v>43509</v>
      </c>
      <c r="B44" s="32" t="s">
        <v>161</v>
      </c>
      <c r="C44" s="32" t="s">
        <v>37</v>
      </c>
      <c r="D44" s="31">
        <v>1991</v>
      </c>
      <c r="E44" s="44">
        <v>1</v>
      </c>
      <c r="F44" s="31">
        <v>8</v>
      </c>
      <c r="G44" s="31">
        <v>8</v>
      </c>
      <c r="H44" s="31" t="s">
        <v>32</v>
      </c>
      <c r="I44" s="31" t="s">
        <v>456</v>
      </c>
      <c r="J44" s="31" t="s">
        <v>12</v>
      </c>
      <c r="K44" s="31">
        <f t="shared" si="0"/>
        <v>9</v>
      </c>
      <c r="L44" s="31">
        <f t="shared" si="1"/>
        <v>2</v>
      </c>
      <c r="M44" s="31">
        <v>0</v>
      </c>
      <c r="N44" s="31">
        <v>1</v>
      </c>
      <c r="O44" s="31">
        <v>1</v>
      </c>
      <c r="P44" s="31" t="s">
        <v>490</v>
      </c>
      <c r="Q44" s="31" t="s">
        <v>106</v>
      </c>
      <c r="R44" s="31">
        <f t="shared" si="2"/>
        <v>1</v>
      </c>
      <c r="S44" s="31" t="s">
        <v>31</v>
      </c>
      <c r="T44" s="46" t="s">
        <v>342</v>
      </c>
      <c r="U44" s="31">
        <f t="shared" si="3"/>
        <v>1</v>
      </c>
      <c r="V44" s="46">
        <v>45</v>
      </c>
      <c r="W44" s="31">
        <f t="shared" si="4"/>
        <v>360</v>
      </c>
      <c r="X44" s="31">
        <v>5</v>
      </c>
      <c r="Y44" s="44">
        <f>TrimmedData!I168</f>
        <v>2.5</v>
      </c>
      <c r="Z44" s="31" t="s">
        <v>38</v>
      </c>
      <c r="AA44" s="31">
        <v>40</v>
      </c>
      <c r="AB44" s="31" t="str">
        <f t="shared" si="5"/>
        <v>1</v>
      </c>
      <c r="AC44" s="34">
        <f>AVERAGE(TrimmedData!I168:M168)</f>
        <v>15.5</v>
      </c>
      <c r="AD44" s="31" t="str">
        <f t="shared" si="6"/>
        <v>1</v>
      </c>
      <c r="AE44" s="44">
        <f t="shared" si="7"/>
        <v>37.5</v>
      </c>
      <c r="AF44" s="45">
        <f>TrimmedData!I169</f>
        <v>0.77</v>
      </c>
      <c r="AG44" s="34">
        <f>((TrimmedData!J169-TrimmedData!I169)+(TrimmedData!K169-TrimmedData!J169)+(TrimmedData!L169-TrimmedData!K169)+(TrimmedData!M169-TrimmedData!L169))/4</f>
        <v>-5.4999999999999993E-2</v>
      </c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</row>
    <row r="45" spans="1:118" s="3" customFormat="1" ht="12" customHeight="1" x14ac:dyDescent="0.2">
      <c r="A45" s="27">
        <v>43509</v>
      </c>
      <c r="B45" s="32" t="s">
        <v>161</v>
      </c>
      <c r="C45" s="32" t="s">
        <v>37</v>
      </c>
      <c r="D45" s="31">
        <v>1991</v>
      </c>
      <c r="E45" s="44">
        <v>1</v>
      </c>
      <c r="F45" s="31">
        <v>8</v>
      </c>
      <c r="G45" s="31">
        <v>8</v>
      </c>
      <c r="H45" s="31" t="s">
        <v>32</v>
      </c>
      <c r="I45" s="31" t="s">
        <v>457</v>
      </c>
      <c r="J45" s="31" t="s">
        <v>12</v>
      </c>
      <c r="K45" s="31">
        <f t="shared" si="0"/>
        <v>9</v>
      </c>
      <c r="L45" s="31">
        <f t="shared" si="1"/>
        <v>2</v>
      </c>
      <c r="M45" s="31">
        <v>0</v>
      </c>
      <c r="N45" s="31">
        <v>1</v>
      </c>
      <c r="O45" s="31">
        <v>1</v>
      </c>
      <c r="P45" s="31" t="s">
        <v>490</v>
      </c>
      <c r="Q45" s="31" t="s">
        <v>106</v>
      </c>
      <c r="R45" s="31">
        <f t="shared" si="2"/>
        <v>1</v>
      </c>
      <c r="S45" s="31" t="s">
        <v>31</v>
      </c>
      <c r="T45" s="46" t="s">
        <v>342</v>
      </c>
      <c r="U45" s="31">
        <f t="shared" si="3"/>
        <v>1</v>
      </c>
      <c r="V45" s="46">
        <v>45</v>
      </c>
      <c r="W45" s="31">
        <f t="shared" si="4"/>
        <v>360</v>
      </c>
      <c r="X45" s="31">
        <v>5</v>
      </c>
      <c r="Y45" s="44">
        <f>TrimmedData!I170</f>
        <v>2.5</v>
      </c>
      <c r="Z45" s="31" t="s">
        <v>38</v>
      </c>
      <c r="AA45" s="31">
        <v>40</v>
      </c>
      <c r="AB45" s="31" t="str">
        <f t="shared" si="5"/>
        <v>1</v>
      </c>
      <c r="AC45" s="34">
        <f>AVERAGE(TrimmedData!I170:M170)</f>
        <v>15.5</v>
      </c>
      <c r="AD45" s="31" t="str">
        <f t="shared" si="6"/>
        <v>1</v>
      </c>
      <c r="AE45" s="44">
        <f t="shared" si="7"/>
        <v>37.5</v>
      </c>
      <c r="AF45" s="45">
        <f>TrimmedData!I171</f>
        <v>0.57699999999999996</v>
      </c>
      <c r="AG45" s="34">
        <f>((TrimmedData!J171-TrimmedData!I171)+(TrimmedData!K171-TrimmedData!J171)+(TrimmedData!L171-TrimmedData!K171)+(TrimmedData!M171-TrimmedData!L171))/4</f>
        <v>-4.3499999999999983E-2</v>
      </c>
    </row>
    <row r="46" spans="1:118" s="3" customFormat="1" ht="12" customHeight="1" x14ac:dyDescent="0.2">
      <c r="A46" s="27">
        <v>43509</v>
      </c>
      <c r="B46" s="1" t="s">
        <v>183</v>
      </c>
      <c r="C46" s="1" t="s">
        <v>176</v>
      </c>
      <c r="D46" s="23">
        <v>1941</v>
      </c>
      <c r="E46" s="38">
        <v>1</v>
      </c>
      <c r="F46" s="23">
        <v>15</v>
      </c>
      <c r="G46" s="23">
        <v>15</v>
      </c>
      <c r="H46" s="23" t="s">
        <v>17</v>
      </c>
      <c r="I46" s="23" t="s">
        <v>461</v>
      </c>
      <c r="J46" s="23" t="s">
        <v>174</v>
      </c>
      <c r="K46" s="23">
        <f t="shared" si="0"/>
        <v>1</v>
      </c>
      <c r="L46" s="23">
        <f t="shared" si="1"/>
        <v>1</v>
      </c>
      <c r="M46" s="23">
        <v>1</v>
      </c>
      <c r="N46" s="23">
        <v>2</v>
      </c>
      <c r="O46" s="23">
        <v>1</v>
      </c>
      <c r="P46" s="23" t="s">
        <v>180</v>
      </c>
      <c r="Q46" s="23" t="s">
        <v>106</v>
      </c>
      <c r="R46" s="23">
        <f t="shared" si="2"/>
        <v>1</v>
      </c>
      <c r="S46" s="23" t="s">
        <v>182</v>
      </c>
      <c r="T46" s="22" t="s">
        <v>342</v>
      </c>
      <c r="U46" s="23">
        <f t="shared" si="3"/>
        <v>1</v>
      </c>
      <c r="V46" s="22">
        <v>12</v>
      </c>
      <c r="W46" s="23">
        <f t="shared" si="4"/>
        <v>180</v>
      </c>
      <c r="X46" s="23">
        <v>7</v>
      </c>
      <c r="Y46" s="38">
        <f>TrimmedData!I172</f>
        <v>6</v>
      </c>
      <c r="Z46" s="23" t="s">
        <v>52</v>
      </c>
      <c r="AA46" s="23">
        <f>24*3600</f>
        <v>86400</v>
      </c>
      <c r="AB46" s="23" t="str">
        <f t="shared" si="5"/>
        <v>3</v>
      </c>
      <c r="AC46" s="19">
        <f>AVERAGE(TrimmedData!I172:O172)</f>
        <v>14486.571428571429</v>
      </c>
      <c r="AD46" s="23" t="str">
        <f t="shared" si="6"/>
        <v>2</v>
      </c>
      <c r="AE46" s="38">
        <f t="shared" si="7"/>
        <v>86394</v>
      </c>
      <c r="AF46" s="41">
        <f>TrimmedData!I173</f>
        <v>0.81666666666666676</v>
      </c>
      <c r="AG46" s="19">
        <f>((TrimmedData!J173-TrimmedData!I173)+(TrimmedData!K173-TrimmedData!J173)+(TrimmedData!L173-TrimmedData!K173)+(TrimmedData!M173-TrimmedData!L173)+(TrimmedData!N173-TrimmedData!M173)+(TrimmedData!O173-TrimmedData!N173))/6</f>
        <v>-0.1166666666666667</v>
      </c>
    </row>
    <row r="47" spans="1:118" s="3" customFormat="1" ht="12" customHeight="1" x14ac:dyDescent="0.2">
      <c r="A47" s="27">
        <v>43509</v>
      </c>
      <c r="B47" s="1" t="s">
        <v>183</v>
      </c>
      <c r="C47" s="1" t="s">
        <v>176</v>
      </c>
      <c r="D47" s="23">
        <v>1941</v>
      </c>
      <c r="E47" s="38">
        <v>1</v>
      </c>
      <c r="F47" s="23">
        <v>15</v>
      </c>
      <c r="G47" s="23">
        <v>15</v>
      </c>
      <c r="H47" s="23" t="s">
        <v>17</v>
      </c>
      <c r="I47" s="23" t="s">
        <v>462</v>
      </c>
      <c r="J47" s="23" t="s">
        <v>174</v>
      </c>
      <c r="K47" s="23">
        <f t="shared" si="0"/>
        <v>1</v>
      </c>
      <c r="L47" s="23">
        <f t="shared" si="1"/>
        <v>1</v>
      </c>
      <c r="M47" s="23">
        <v>1</v>
      </c>
      <c r="N47" s="23">
        <v>2</v>
      </c>
      <c r="O47" s="23">
        <v>1</v>
      </c>
      <c r="P47" s="23" t="s">
        <v>180</v>
      </c>
      <c r="Q47" s="23" t="s">
        <v>106</v>
      </c>
      <c r="R47" s="23">
        <f t="shared" si="2"/>
        <v>1</v>
      </c>
      <c r="S47" s="23" t="s">
        <v>182</v>
      </c>
      <c r="T47" s="22" t="s">
        <v>342</v>
      </c>
      <c r="U47" s="23">
        <f t="shared" si="3"/>
        <v>1</v>
      </c>
      <c r="V47" s="22">
        <v>12</v>
      </c>
      <c r="W47" s="23">
        <f t="shared" si="4"/>
        <v>180</v>
      </c>
      <c r="X47" s="23">
        <v>5</v>
      </c>
      <c r="Y47" s="38">
        <f>TrimmedData!I174</f>
        <v>6</v>
      </c>
      <c r="Z47" s="23" t="s">
        <v>181</v>
      </c>
      <c r="AA47" s="24">
        <f>60*60</f>
        <v>3600</v>
      </c>
      <c r="AB47" s="23" t="str">
        <f t="shared" si="5"/>
        <v>2</v>
      </c>
      <c r="AC47" s="19">
        <f>AVERAGE(TrimmedData!I174:M174)</f>
        <v>1561.2</v>
      </c>
      <c r="AD47" s="23" t="str">
        <f t="shared" si="6"/>
        <v>2</v>
      </c>
      <c r="AE47" s="38">
        <f t="shared" si="7"/>
        <v>3594</v>
      </c>
      <c r="AF47" s="41">
        <f>TrimmedData!I175</f>
        <v>0.69916666666666671</v>
      </c>
      <c r="AG47" s="19">
        <f>((TrimmedData!J175-TrimmedData!I175)+(TrimmedData!K175-TrimmedData!J175)+(TrimmedData!L175-TrimmedData!K175)+(TrimmedData!M175-TrimmedData!L175))/4</f>
        <v>-8.9375000000000024E-2</v>
      </c>
    </row>
    <row r="48" spans="1:118" s="3" customFormat="1" ht="12" customHeight="1" x14ac:dyDescent="0.2">
      <c r="A48" s="27">
        <v>43509</v>
      </c>
      <c r="B48" s="1" t="s">
        <v>183</v>
      </c>
      <c r="C48" s="1" t="s">
        <v>176</v>
      </c>
      <c r="D48" s="23">
        <v>1941</v>
      </c>
      <c r="E48" s="38">
        <v>1</v>
      </c>
      <c r="F48" s="23">
        <v>15</v>
      </c>
      <c r="G48" s="23">
        <v>15</v>
      </c>
      <c r="H48" s="23" t="s">
        <v>17</v>
      </c>
      <c r="I48" s="23" t="s">
        <v>463</v>
      </c>
      <c r="J48" s="23" t="s">
        <v>174</v>
      </c>
      <c r="K48" s="23">
        <f t="shared" si="0"/>
        <v>1</v>
      </c>
      <c r="L48" s="23">
        <f t="shared" si="1"/>
        <v>1</v>
      </c>
      <c r="M48" s="23">
        <v>1</v>
      </c>
      <c r="N48" s="23">
        <v>2</v>
      </c>
      <c r="O48" s="23">
        <v>1</v>
      </c>
      <c r="P48" s="23" t="s">
        <v>180</v>
      </c>
      <c r="Q48" s="23" t="s">
        <v>106</v>
      </c>
      <c r="R48" s="23">
        <f t="shared" si="2"/>
        <v>1</v>
      </c>
      <c r="S48" s="23" t="s">
        <v>182</v>
      </c>
      <c r="T48" s="22" t="s">
        <v>342</v>
      </c>
      <c r="U48" s="23">
        <f t="shared" si="3"/>
        <v>1</v>
      </c>
      <c r="V48" s="22">
        <v>12</v>
      </c>
      <c r="W48" s="23">
        <f t="shared" si="4"/>
        <v>180</v>
      </c>
      <c r="X48" s="23">
        <v>5</v>
      </c>
      <c r="Y48" s="38">
        <f>TrimmedData!I176</f>
        <v>6</v>
      </c>
      <c r="Z48" s="23" t="s">
        <v>181</v>
      </c>
      <c r="AA48" s="24">
        <f>60*60</f>
        <v>3600</v>
      </c>
      <c r="AB48" s="23" t="str">
        <f t="shared" si="5"/>
        <v>2</v>
      </c>
      <c r="AC48" s="19">
        <f>AVERAGE(TrimmedData!I176:M176)</f>
        <v>1561.2</v>
      </c>
      <c r="AD48" s="23" t="str">
        <f t="shared" si="6"/>
        <v>2</v>
      </c>
      <c r="AE48" s="38">
        <f t="shared" si="7"/>
        <v>3594</v>
      </c>
      <c r="AF48" s="41">
        <f>TrimmedData!I177</f>
        <v>0.53749999999999998</v>
      </c>
      <c r="AG48" s="19">
        <f>((TrimmedData!J177-TrimmedData!I177)+(TrimmedData!K177-TrimmedData!J177)+(TrimmedData!L177-TrimmedData!K177)+(TrimmedData!M177-TrimmedData!L177))/4</f>
        <v>-6.0833333333333336E-2</v>
      </c>
    </row>
    <row r="49" spans="1:118" s="3" customFormat="1" ht="12" customHeight="1" x14ac:dyDescent="0.2">
      <c r="A49" s="90" t="s">
        <v>543</v>
      </c>
      <c r="B49" s="1"/>
      <c r="C49" s="1"/>
      <c r="D49" s="23"/>
      <c r="E49" s="38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2"/>
      <c r="U49" s="23"/>
      <c r="V49" s="22"/>
      <c r="W49" s="23"/>
      <c r="X49" s="23"/>
      <c r="Z49" s="23"/>
      <c r="AA49" s="24"/>
      <c r="AB49" s="23"/>
      <c r="AD49" s="23"/>
      <c r="AE49" s="38"/>
    </row>
    <row r="50" spans="1:118" s="3" customFormat="1" ht="12" customHeight="1" x14ac:dyDescent="0.2">
      <c r="A50" s="27">
        <v>43895</v>
      </c>
      <c r="B50" s="5" t="s">
        <v>328</v>
      </c>
      <c r="C50" s="5" t="s">
        <v>329</v>
      </c>
      <c r="D50" s="22">
        <v>1981</v>
      </c>
      <c r="E50" s="38">
        <v>1</v>
      </c>
      <c r="F50" s="23">
        <v>12</v>
      </c>
      <c r="G50" s="23">
        <v>12</v>
      </c>
      <c r="H50" s="23" t="s">
        <v>32</v>
      </c>
      <c r="I50" s="22" t="s">
        <v>197</v>
      </c>
      <c r="J50" s="22" t="s">
        <v>208</v>
      </c>
      <c r="K50" s="23">
        <f t="shared" si="0"/>
        <v>26</v>
      </c>
      <c r="L50" s="23">
        <f t="shared" si="1"/>
        <v>4</v>
      </c>
      <c r="M50" s="23">
        <v>1</v>
      </c>
      <c r="N50" s="24">
        <v>2</v>
      </c>
      <c r="O50" s="23">
        <v>0</v>
      </c>
      <c r="P50" s="23"/>
      <c r="Q50" s="22" t="s">
        <v>106</v>
      </c>
      <c r="R50" s="23">
        <f t="shared" si="2"/>
        <v>1</v>
      </c>
      <c r="S50" s="23" t="s">
        <v>16</v>
      </c>
      <c r="T50" s="22" t="s">
        <v>342</v>
      </c>
      <c r="U50" s="23">
        <f t="shared" si="3"/>
        <v>1</v>
      </c>
      <c r="V50" s="22">
        <v>180</v>
      </c>
      <c r="W50" s="23">
        <f t="shared" si="4"/>
        <v>2160</v>
      </c>
      <c r="X50" s="23">
        <v>5</v>
      </c>
      <c r="Y50" s="38">
        <f>TrimmedData!I2</f>
        <v>157680000</v>
      </c>
      <c r="Z50" s="23" t="s">
        <v>229</v>
      </c>
      <c r="AA50" s="23">
        <f t="shared" ref="AA50:AA56" si="9">60*60*24*365*45</f>
        <v>1419120000</v>
      </c>
      <c r="AB50" s="23" t="str">
        <f t="shared" si="5"/>
        <v>4</v>
      </c>
      <c r="AC50" s="19">
        <f>AVERAGE(TrimmedData!I2:M2)</f>
        <v>788400000</v>
      </c>
      <c r="AD50" s="23" t="str">
        <f t="shared" si="6"/>
        <v>4</v>
      </c>
      <c r="AE50" s="38">
        <f t="shared" si="7"/>
        <v>1261440000</v>
      </c>
      <c r="AF50" s="41">
        <f>TrimmedData!I3</f>
        <v>0.62264150943396224</v>
      </c>
      <c r="AG50" s="19">
        <f>((TrimmedData!J3-TrimmedData!I3)+(TrimmedData!K3-TrimmedData!J3)+(TrimmedData!L3-TrimmedData!K3)+(TrimmedData!M3-TrimmedData!L3))/4</f>
        <v>1.9871537535126493E-2</v>
      </c>
      <c r="DN50" s="4"/>
    </row>
    <row r="51" spans="1:118" s="3" customFormat="1" ht="12" customHeight="1" x14ac:dyDescent="0.2">
      <c r="A51" s="27">
        <v>43895</v>
      </c>
      <c r="B51" s="5" t="s">
        <v>328</v>
      </c>
      <c r="C51" s="5" t="s">
        <v>329</v>
      </c>
      <c r="D51" s="22">
        <v>1981</v>
      </c>
      <c r="E51" s="38">
        <v>1</v>
      </c>
      <c r="F51" s="23">
        <v>12</v>
      </c>
      <c r="G51" s="23">
        <v>12</v>
      </c>
      <c r="H51" s="23" t="s">
        <v>25</v>
      </c>
      <c r="I51" s="22" t="s">
        <v>197</v>
      </c>
      <c r="J51" s="22" t="s">
        <v>206</v>
      </c>
      <c r="K51" s="23">
        <f t="shared" si="0"/>
        <v>46</v>
      </c>
      <c r="L51" s="23">
        <f t="shared" si="1"/>
        <v>7</v>
      </c>
      <c r="M51" s="23">
        <v>1</v>
      </c>
      <c r="N51" s="24">
        <v>4</v>
      </c>
      <c r="O51" s="23">
        <v>0</v>
      </c>
      <c r="P51" s="23"/>
      <c r="Q51" s="22" t="s">
        <v>106</v>
      </c>
      <c r="R51" s="23">
        <f t="shared" si="2"/>
        <v>1</v>
      </c>
      <c r="S51" s="23" t="s">
        <v>16</v>
      </c>
      <c r="T51" s="22" t="s">
        <v>342</v>
      </c>
      <c r="U51" s="23">
        <f t="shared" si="3"/>
        <v>1</v>
      </c>
      <c r="V51" s="22">
        <v>132</v>
      </c>
      <c r="W51" s="23">
        <f t="shared" si="4"/>
        <v>1584</v>
      </c>
      <c r="X51" s="23">
        <v>5</v>
      </c>
      <c r="Y51" s="38">
        <f>TrimmedData!I4</f>
        <v>157680000</v>
      </c>
      <c r="Z51" s="23" t="s">
        <v>229</v>
      </c>
      <c r="AA51" s="23">
        <f t="shared" si="9"/>
        <v>1419120000</v>
      </c>
      <c r="AB51" s="23" t="str">
        <f t="shared" si="5"/>
        <v>4</v>
      </c>
      <c r="AC51" s="19">
        <f>AVERAGE(TrimmedData!I4:M4)</f>
        <v>788400000</v>
      </c>
      <c r="AD51" s="23" t="str">
        <f t="shared" si="6"/>
        <v>4</v>
      </c>
      <c r="AE51" s="38">
        <f t="shared" si="7"/>
        <v>1261440000</v>
      </c>
      <c r="AF51" s="41">
        <f>TrimmedData!I5</f>
        <v>0.60465116279069775</v>
      </c>
      <c r="AG51" s="19">
        <f>((TrimmedData!J5-TrimmedData!I5)+(TrimmedData!K5-TrimmedData!J5)+(TrimmedData!L5-TrimmedData!K5)+(TrimmedData!M5-TrimmedData!L5))/4</f>
        <v>2.0265780730896993E-2</v>
      </c>
      <c r="DN51" s="4"/>
    </row>
    <row r="52" spans="1:118" s="3" customFormat="1" ht="12" customHeight="1" x14ac:dyDescent="0.2">
      <c r="A52" s="27">
        <v>43900</v>
      </c>
      <c r="B52" s="48" t="s">
        <v>259</v>
      </c>
      <c r="C52" s="48" t="s">
        <v>260</v>
      </c>
      <c r="D52" s="46">
        <v>1981</v>
      </c>
      <c r="E52" s="44">
        <v>1</v>
      </c>
      <c r="F52" s="31">
        <v>12</v>
      </c>
      <c r="G52" s="31">
        <v>12</v>
      </c>
      <c r="H52" s="31" t="s">
        <v>32</v>
      </c>
      <c r="I52" s="46" t="s">
        <v>197</v>
      </c>
      <c r="J52" s="46" t="s">
        <v>208</v>
      </c>
      <c r="K52" s="31">
        <f t="shared" si="0"/>
        <v>26</v>
      </c>
      <c r="L52" s="31">
        <f t="shared" si="1"/>
        <v>4</v>
      </c>
      <c r="M52" s="31">
        <v>1</v>
      </c>
      <c r="N52" s="43">
        <v>2</v>
      </c>
      <c r="O52" s="31">
        <v>0</v>
      </c>
      <c r="P52" s="31"/>
      <c r="Q52" s="46" t="s">
        <v>106</v>
      </c>
      <c r="R52" s="31">
        <f t="shared" si="2"/>
        <v>1</v>
      </c>
      <c r="S52" s="31" t="s">
        <v>16</v>
      </c>
      <c r="T52" s="46" t="s">
        <v>342</v>
      </c>
      <c r="U52" s="31">
        <f t="shared" si="3"/>
        <v>1</v>
      </c>
      <c r="V52" s="46">
        <v>180</v>
      </c>
      <c r="W52" s="31">
        <f t="shared" si="4"/>
        <v>2160</v>
      </c>
      <c r="X52" s="31">
        <v>5</v>
      </c>
      <c r="Y52" s="44">
        <f>TrimmedData!I6</f>
        <v>157680000</v>
      </c>
      <c r="Z52" s="31" t="s">
        <v>229</v>
      </c>
      <c r="AA52" s="31">
        <f t="shared" si="9"/>
        <v>1419120000</v>
      </c>
      <c r="AB52" s="31" t="str">
        <f t="shared" si="5"/>
        <v>4</v>
      </c>
      <c r="AC52" s="34">
        <f>AVERAGE(TrimmedData!I6:M6)</f>
        <v>788400000</v>
      </c>
      <c r="AD52" s="31" t="str">
        <f t="shared" si="6"/>
        <v>4</v>
      </c>
      <c r="AE52" s="44">
        <f t="shared" si="7"/>
        <v>1261440000</v>
      </c>
      <c r="AF52" s="45">
        <f>TrimmedData!I7</f>
        <v>0.75</v>
      </c>
      <c r="AG52" s="34">
        <f>((TrimmedData!J7-TrimmedData!I7)+(TrimmedData!K7-TrimmedData!J7)+(TrimmedData!L7-TrimmedData!K7)+(TrimmedData!M7-TrimmedData!L7))/4</f>
        <v>1.999999999999999E-2</v>
      </c>
      <c r="DN52" s="4"/>
    </row>
    <row r="53" spans="1:118" s="3" customFormat="1" ht="12" customHeight="1" x14ac:dyDescent="0.2">
      <c r="A53" s="27">
        <v>43900</v>
      </c>
      <c r="B53" s="48" t="s">
        <v>259</v>
      </c>
      <c r="C53" s="48" t="s">
        <v>260</v>
      </c>
      <c r="D53" s="46">
        <v>1981</v>
      </c>
      <c r="E53" s="44">
        <v>1</v>
      </c>
      <c r="F53" s="31">
        <v>12</v>
      </c>
      <c r="G53" s="31">
        <v>12</v>
      </c>
      <c r="H53" s="31" t="s">
        <v>32</v>
      </c>
      <c r="I53" s="46" t="s">
        <v>197</v>
      </c>
      <c r="J53" s="46" t="s">
        <v>206</v>
      </c>
      <c r="K53" s="31">
        <f t="shared" si="0"/>
        <v>46</v>
      </c>
      <c r="L53" s="31">
        <f t="shared" si="1"/>
        <v>7</v>
      </c>
      <c r="M53" s="31">
        <v>1</v>
      </c>
      <c r="N53" s="43">
        <v>4</v>
      </c>
      <c r="O53" s="31">
        <v>0</v>
      </c>
      <c r="P53" s="31"/>
      <c r="Q53" s="46" t="s">
        <v>106</v>
      </c>
      <c r="R53" s="31">
        <f t="shared" si="2"/>
        <v>1</v>
      </c>
      <c r="S53" s="31" t="s">
        <v>16</v>
      </c>
      <c r="T53" s="46" t="s">
        <v>342</v>
      </c>
      <c r="U53" s="31">
        <f t="shared" si="3"/>
        <v>1</v>
      </c>
      <c r="V53" s="46">
        <v>132</v>
      </c>
      <c r="W53" s="31">
        <f t="shared" si="4"/>
        <v>1584</v>
      </c>
      <c r="X53" s="31">
        <v>5</v>
      </c>
      <c r="Y53" s="44">
        <f>TrimmedData!I8</f>
        <v>157680000</v>
      </c>
      <c r="Z53" s="31" t="s">
        <v>229</v>
      </c>
      <c r="AA53" s="31">
        <f t="shared" si="9"/>
        <v>1419120000</v>
      </c>
      <c r="AB53" s="31" t="str">
        <f t="shared" si="5"/>
        <v>4</v>
      </c>
      <c r="AC53" s="34">
        <f>AVERAGE(TrimmedData!I8:M8)</f>
        <v>788400000</v>
      </c>
      <c r="AD53" s="31" t="str">
        <f t="shared" si="6"/>
        <v>4</v>
      </c>
      <c r="AE53" s="44">
        <f t="shared" si="7"/>
        <v>1261440000</v>
      </c>
      <c r="AF53" s="45">
        <f>TrimmedData!I9</f>
        <v>0.74468085106382975</v>
      </c>
      <c r="AG53" s="34">
        <f>((TrimmedData!J9-TrimmedData!I9)+(TrimmedData!K9-TrimmedData!J9)+(TrimmedData!L9-TrimmedData!K9)+(TrimmedData!M9-TrimmedData!L9))/4</f>
        <v>1.491674375578167E-2</v>
      </c>
      <c r="DN53" s="4"/>
    </row>
    <row r="54" spans="1:118" s="3" customFormat="1" ht="12" customHeight="1" x14ac:dyDescent="0.2">
      <c r="A54" s="27">
        <v>43900</v>
      </c>
      <c r="B54" s="48" t="s">
        <v>259</v>
      </c>
      <c r="C54" s="48" t="s">
        <v>260</v>
      </c>
      <c r="D54" s="46">
        <v>1981</v>
      </c>
      <c r="E54" s="44">
        <v>1</v>
      </c>
      <c r="F54" s="31">
        <v>12</v>
      </c>
      <c r="G54" s="31">
        <v>12</v>
      </c>
      <c r="H54" s="31" t="s">
        <v>32</v>
      </c>
      <c r="I54" s="46" t="s">
        <v>197</v>
      </c>
      <c r="J54" s="46" t="s">
        <v>206</v>
      </c>
      <c r="K54" s="31">
        <f t="shared" si="0"/>
        <v>46</v>
      </c>
      <c r="L54" s="31">
        <f t="shared" si="1"/>
        <v>7</v>
      </c>
      <c r="M54" s="31">
        <v>1</v>
      </c>
      <c r="N54" s="43">
        <v>4</v>
      </c>
      <c r="O54" s="31">
        <v>0</v>
      </c>
      <c r="P54" s="31"/>
      <c r="Q54" s="46" t="s">
        <v>111</v>
      </c>
      <c r="R54" s="31">
        <f t="shared" si="2"/>
        <v>4</v>
      </c>
      <c r="S54" s="31" t="s">
        <v>11</v>
      </c>
      <c r="T54" s="46" t="s">
        <v>342</v>
      </c>
      <c r="U54" s="31">
        <f t="shared" si="3"/>
        <v>1</v>
      </c>
      <c r="V54" s="46">
        <v>132</v>
      </c>
      <c r="W54" s="31">
        <f t="shared" si="4"/>
        <v>1584</v>
      </c>
      <c r="X54" s="31">
        <v>5</v>
      </c>
      <c r="Y54" s="44">
        <f>TrimmedData!I10</f>
        <v>157680000</v>
      </c>
      <c r="Z54" s="31" t="s">
        <v>229</v>
      </c>
      <c r="AA54" s="31">
        <f t="shared" si="9"/>
        <v>1419120000</v>
      </c>
      <c r="AB54" s="31" t="str">
        <f t="shared" si="5"/>
        <v>4</v>
      </c>
      <c r="AC54" s="34">
        <f>AVERAGE(TrimmedData!I10:M10)</f>
        <v>788400000</v>
      </c>
      <c r="AD54" s="31" t="str">
        <f t="shared" si="6"/>
        <v>4</v>
      </c>
      <c r="AE54" s="44">
        <f t="shared" si="7"/>
        <v>1261440000</v>
      </c>
      <c r="AF54" s="45">
        <f>TrimmedData!I11</f>
        <v>0.75324675324675316</v>
      </c>
      <c r="AG54" s="34">
        <f>((TrimmedData!J11-TrimmedData!I11)+(TrimmedData!K11-TrimmedData!J11)+(TrimmedData!L11-TrimmedData!K11)+(TrimmedData!M11-TrimmedData!L11))/4</f>
        <v>3.2467532467532478E-3</v>
      </c>
      <c r="DN54" s="4"/>
    </row>
    <row r="55" spans="1:118" s="3" customFormat="1" ht="12" customHeight="1" x14ac:dyDescent="0.2">
      <c r="A55" s="27">
        <v>43900</v>
      </c>
      <c r="B55" s="48" t="s">
        <v>262</v>
      </c>
      <c r="C55" s="48" t="s">
        <v>260</v>
      </c>
      <c r="D55" s="46">
        <v>1979</v>
      </c>
      <c r="E55" s="44">
        <v>1</v>
      </c>
      <c r="F55" s="46">
        <v>15</v>
      </c>
      <c r="G55" s="46">
        <v>15</v>
      </c>
      <c r="H55" s="31" t="s">
        <v>32</v>
      </c>
      <c r="I55" s="46" t="s">
        <v>197</v>
      </c>
      <c r="J55" s="46" t="s">
        <v>208</v>
      </c>
      <c r="K55" s="31">
        <f t="shared" si="0"/>
        <v>26</v>
      </c>
      <c r="L55" s="31">
        <f t="shared" si="1"/>
        <v>4</v>
      </c>
      <c r="M55" s="46">
        <v>1</v>
      </c>
      <c r="N55" s="43">
        <v>2</v>
      </c>
      <c r="O55" s="31">
        <v>0</v>
      </c>
      <c r="P55" s="31"/>
      <c r="Q55" s="46" t="s">
        <v>106</v>
      </c>
      <c r="R55" s="31">
        <f t="shared" si="2"/>
        <v>1</v>
      </c>
      <c r="S55" s="31" t="s">
        <v>16</v>
      </c>
      <c r="T55" s="46" t="s">
        <v>342</v>
      </c>
      <c r="U55" s="31">
        <f t="shared" si="3"/>
        <v>1</v>
      </c>
      <c r="V55" s="46">
        <v>180</v>
      </c>
      <c r="W55" s="31">
        <f t="shared" si="4"/>
        <v>2700</v>
      </c>
      <c r="X55" s="31">
        <v>5</v>
      </c>
      <c r="Y55" s="44">
        <f>TrimmedData!I12</f>
        <v>157680000</v>
      </c>
      <c r="Z55" s="31" t="s">
        <v>229</v>
      </c>
      <c r="AA55" s="31">
        <f t="shared" si="9"/>
        <v>1419120000</v>
      </c>
      <c r="AB55" s="31" t="str">
        <f t="shared" si="5"/>
        <v>4</v>
      </c>
      <c r="AC55" s="34">
        <f>AVERAGE(TrimmedData!I12:M12)</f>
        <v>788400000</v>
      </c>
      <c r="AD55" s="31" t="str">
        <f t="shared" si="6"/>
        <v>4</v>
      </c>
      <c r="AE55" s="44">
        <f t="shared" si="7"/>
        <v>1261440000</v>
      </c>
      <c r="AF55" s="45">
        <f>TrimmedData!I13</f>
        <v>0.8</v>
      </c>
      <c r="AG55" s="34">
        <f>((TrimmedData!J13-TrimmedData!I13)+(TrimmedData!K13-TrimmedData!J13)+(TrimmedData!L13-TrimmedData!K13)+(TrimmedData!M13-TrimmedData!L13))/4</f>
        <v>2.1428571428571436E-2</v>
      </c>
      <c r="DN55" s="4"/>
    </row>
    <row r="56" spans="1:118" s="3" customFormat="1" ht="12" customHeight="1" x14ac:dyDescent="0.2">
      <c r="A56" s="27">
        <v>43900</v>
      </c>
      <c r="B56" s="48" t="s">
        <v>262</v>
      </c>
      <c r="C56" s="48" t="s">
        <v>260</v>
      </c>
      <c r="D56" s="46">
        <v>1979</v>
      </c>
      <c r="E56" s="44">
        <v>1</v>
      </c>
      <c r="F56" s="46">
        <v>15</v>
      </c>
      <c r="G56" s="46">
        <v>15</v>
      </c>
      <c r="H56" s="31" t="s">
        <v>32</v>
      </c>
      <c r="I56" s="46" t="s">
        <v>197</v>
      </c>
      <c r="J56" s="46" t="s">
        <v>206</v>
      </c>
      <c r="K56" s="31">
        <f t="shared" si="0"/>
        <v>46</v>
      </c>
      <c r="L56" s="31">
        <f t="shared" si="1"/>
        <v>7</v>
      </c>
      <c r="M56" s="46">
        <v>1</v>
      </c>
      <c r="N56" s="43">
        <v>4</v>
      </c>
      <c r="O56" s="31">
        <v>0</v>
      </c>
      <c r="P56" s="31"/>
      <c r="Q56" s="46" t="s">
        <v>106</v>
      </c>
      <c r="R56" s="31">
        <f t="shared" si="2"/>
        <v>1</v>
      </c>
      <c r="S56" s="31" t="s">
        <v>16</v>
      </c>
      <c r="T56" s="46" t="s">
        <v>342</v>
      </c>
      <c r="U56" s="31">
        <f t="shared" si="3"/>
        <v>1</v>
      </c>
      <c r="V56" s="46">
        <v>132</v>
      </c>
      <c r="W56" s="31">
        <f t="shared" si="4"/>
        <v>1980</v>
      </c>
      <c r="X56" s="31">
        <v>5</v>
      </c>
      <c r="Y56" s="44">
        <f>TrimmedData!I14</f>
        <v>157680000</v>
      </c>
      <c r="Z56" s="31" t="s">
        <v>229</v>
      </c>
      <c r="AA56" s="31">
        <f t="shared" si="9"/>
        <v>1419120000</v>
      </c>
      <c r="AB56" s="31" t="str">
        <f t="shared" si="5"/>
        <v>4</v>
      </c>
      <c r="AC56" s="34">
        <f>AVERAGE(TrimmedData!I14:M14)</f>
        <v>788400000</v>
      </c>
      <c r="AD56" s="31" t="str">
        <f t="shared" si="6"/>
        <v>4</v>
      </c>
      <c r="AE56" s="44">
        <f t="shared" si="7"/>
        <v>1261440000</v>
      </c>
      <c r="AF56" s="45">
        <f>TrimmedData!I15</f>
        <v>0.76190476190476197</v>
      </c>
      <c r="AG56" s="34">
        <f>((TrimmedData!J15-TrimmedData!I15)+(TrimmedData!K15-TrimmedData!J15)+(TrimmedData!L15-TrimmedData!K15)+(TrimmedData!M15-TrimmedData!L15))/4</f>
        <v>1.9841269841269826E-2</v>
      </c>
      <c r="DN56" s="4"/>
    </row>
    <row r="57" spans="1:118" s="3" customFormat="1" ht="12" customHeight="1" x14ac:dyDescent="0.2">
      <c r="A57" s="27">
        <v>43895</v>
      </c>
      <c r="B57" s="32" t="s">
        <v>200</v>
      </c>
      <c r="C57" s="32" t="s">
        <v>201</v>
      </c>
      <c r="D57" s="31">
        <v>1987</v>
      </c>
      <c r="E57" s="44">
        <v>1</v>
      </c>
      <c r="F57" s="31">
        <v>14</v>
      </c>
      <c r="G57" s="31">
        <v>14</v>
      </c>
      <c r="H57" s="31" t="s">
        <v>32</v>
      </c>
      <c r="I57" s="46" t="s">
        <v>197</v>
      </c>
      <c r="J57" s="31" t="s">
        <v>208</v>
      </c>
      <c r="K57" s="31">
        <f t="shared" si="0"/>
        <v>26</v>
      </c>
      <c r="L57" s="31">
        <f t="shared" si="1"/>
        <v>4</v>
      </c>
      <c r="M57" s="31">
        <v>1</v>
      </c>
      <c r="N57" s="43">
        <v>2</v>
      </c>
      <c r="O57" s="31">
        <v>0</v>
      </c>
      <c r="P57" s="31"/>
      <c r="Q57" s="31" t="s">
        <v>106</v>
      </c>
      <c r="R57" s="31">
        <f t="shared" si="2"/>
        <v>1</v>
      </c>
      <c r="S57" s="31" t="s">
        <v>31</v>
      </c>
      <c r="T57" s="46" t="s">
        <v>342</v>
      </c>
      <c r="U57" s="31">
        <f t="shared" si="3"/>
        <v>1</v>
      </c>
      <c r="V57" s="46">
        <v>75</v>
      </c>
      <c r="W57" s="31">
        <f t="shared" si="4"/>
        <v>1050</v>
      </c>
      <c r="X57" s="31">
        <v>5</v>
      </c>
      <c r="Y57" s="44">
        <f>TrimmedData!I20</f>
        <v>315360000</v>
      </c>
      <c r="Z57" s="31" t="s">
        <v>130</v>
      </c>
      <c r="AA57" s="31">
        <f>50*365*24*60*60</f>
        <v>1576800000</v>
      </c>
      <c r="AB57" s="31" t="str">
        <f t="shared" si="5"/>
        <v>4</v>
      </c>
      <c r="AC57" s="34">
        <f>AVERAGE(TrimmedData!I20:M20)</f>
        <v>3156672000</v>
      </c>
      <c r="AD57" s="31" t="str">
        <f t="shared" si="6"/>
        <v>4</v>
      </c>
      <c r="AE57" s="44">
        <f t="shared" si="7"/>
        <v>1261440000</v>
      </c>
      <c r="AF57" s="45">
        <f>TrimmedData!I21</f>
        <v>0.65454545454545443</v>
      </c>
      <c r="AG57" s="34">
        <f>((TrimmedData!J21-TrimmedData!I21)+(TrimmedData!K21-TrimmedData!J21)+(TrimmedData!L21-TrimmedData!K21)+(TrimmedData!M21-TrimmedData!L21))/4</f>
        <v>2.6363636363636395E-2</v>
      </c>
      <c r="DN57" s="4"/>
    </row>
    <row r="58" spans="1:118" s="3" customFormat="1" ht="12" customHeight="1" x14ac:dyDescent="0.2">
      <c r="A58" s="27">
        <v>43895</v>
      </c>
      <c r="B58" s="32" t="s">
        <v>200</v>
      </c>
      <c r="C58" s="32" t="s">
        <v>201</v>
      </c>
      <c r="D58" s="31">
        <v>1987</v>
      </c>
      <c r="E58" s="44">
        <v>1</v>
      </c>
      <c r="F58" s="31">
        <v>14</v>
      </c>
      <c r="G58" s="31">
        <v>14</v>
      </c>
      <c r="H58" s="31" t="s">
        <v>25</v>
      </c>
      <c r="I58" s="46" t="s">
        <v>197</v>
      </c>
      <c r="J58" s="31" t="s">
        <v>202</v>
      </c>
      <c r="K58" s="31">
        <f t="shared" si="0"/>
        <v>39</v>
      </c>
      <c r="L58" s="31">
        <f t="shared" si="1"/>
        <v>6</v>
      </c>
      <c r="M58" s="31">
        <v>1</v>
      </c>
      <c r="N58" s="43">
        <v>3</v>
      </c>
      <c r="O58" s="31">
        <v>0</v>
      </c>
      <c r="P58" s="31"/>
      <c r="Q58" s="31" t="s">
        <v>106</v>
      </c>
      <c r="R58" s="31">
        <f t="shared" si="2"/>
        <v>1</v>
      </c>
      <c r="S58" s="31" t="s">
        <v>31</v>
      </c>
      <c r="T58" s="46" t="s">
        <v>342</v>
      </c>
      <c r="U58" s="31">
        <f t="shared" si="3"/>
        <v>1</v>
      </c>
      <c r="V58" s="46">
        <v>75</v>
      </c>
      <c r="W58" s="31">
        <f t="shared" si="4"/>
        <v>1050</v>
      </c>
      <c r="X58" s="31">
        <v>5</v>
      </c>
      <c r="Y58" s="44">
        <f>TrimmedData!I22</f>
        <v>157680000</v>
      </c>
      <c r="Z58" s="31" t="s">
        <v>229</v>
      </c>
      <c r="AA58" s="31">
        <f>45*365*24*60*60</f>
        <v>1419120000</v>
      </c>
      <c r="AB58" s="31" t="str">
        <f t="shared" si="5"/>
        <v>4</v>
      </c>
      <c r="AC58" s="34">
        <f>AVERAGE(TrimmedData!I22:M22)</f>
        <v>788400000</v>
      </c>
      <c r="AD58" s="31" t="str">
        <f t="shared" si="6"/>
        <v>4</v>
      </c>
      <c r="AE58" s="44">
        <f t="shared" si="7"/>
        <v>1261440000</v>
      </c>
      <c r="AF58" s="45">
        <f>TrimmedData!I23</f>
        <v>0.68</v>
      </c>
      <c r="AG58" s="34">
        <f>((TrimmedData!J23-TrimmedData!I23)+(TrimmedData!K23-TrimmedData!J23)+(TrimmedData!L23-TrimmedData!K23)+(TrimmedData!M23-TrimmedData!L23))/4</f>
        <v>2.0677966101694922E-2</v>
      </c>
    </row>
    <row r="59" spans="1:118" s="3" customFormat="1" ht="12" customHeight="1" x14ac:dyDescent="0.2">
      <c r="A59" s="27">
        <v>43895</v>
      </c>
      <c r="B59" s="1" t="s">
        <v>203</v>
      </c>
      <c r="C59" s="1" t="s">
        <v>204</v>
      </c>
      <c r="D59" s="23">
        <v>1988</v>
      </c>
      <c r="E59" s="38">
        <v>1</v>
      </c>
      <c r="F59" s="23">
        <v>12</v>
      </c>
      <c r="G59" s="23">
        <v>12</v>
      </c>
      <c r="H59" s="23" t="s">
        <v>25</v>
      </c>
      <c r="I59" s="22" t="s">
        <v>236</v>
      </c>
      <c r="J59" s="23" t="s">
        <v>202</v>
      </c>
      <c r="K59" s="23">
        <f t="shared" si="0"/>
        <v>39</v>
      </c>
      <c r="L59" s="23">
        <f t="shared" si="1"/>
        <v>6</v>
      </c>
      <c r="M59" s="23">
        <v>1</v>
      </c>
      <c r="N59" s="22">
        <v>3</v>
      </c>
      <c r="O59" s="23">
        <v>0</v>
      </c>
      <c r="P59" s="23"/>
      <c r="Q59" s="23" t="s">
        <v>45</v>
      </c>
      <c r="R59" s="23">
        <f t="shared" si="2"/>
        <v>2</v>
      </c>
      <c r="S59" s="23" t="s">
        <v>31</v>
      </c>
      <c r="T59" s="22" t="s">
        <v>342</v>
      </c>
      <c r="U59" s="23">
        <f t="shared" si="3"/>
        <v>1</v>
      </c>
      <c r="V59" s="22">
        <v>75</v>
      </c>
      <c r="W59" s="23">
        <f t="shared" si="4"/>
        <v>900</v>
      </c>
      <c r="X59" s="23">
        <v>5</v>
      </c>
      <c r="Y59" s="38">
        <f>TrimmedData!I24</f>
        <v>157680000</v>
      </c>
      <c r="Z59" s="23" t="s">
        <v>229</v>
      </c>
      <c r="AA59" s="23">
        <f>45*365*24*60*60</f>
        <v>1419120000</v>
      </c>
      <c r="AB59" s="23" t="str">
        <f t="shared" si="5"/>
        <v>4</v>
      </c>
      <c r="AC59" s="19">
        <f>AVERAGE(TrimmedData!I24:BN24)</f>
        <v>788400000</v>
      </c>
      <c r="AD59" s="23" t="str">
        <f t="shared" si="6"/>
        <v>4</v>
      </c>
      <c r="AE59" s="38">
        <f t="shared" si="7"/>
        <v>1261440000</v>
      </c>
      <c r="AF59" s="41">
        <f>TrimmedData!I25</f>
        <v>0.69</v>
      </c>
      <c r="AG59" s="19">
        <f>((TrimmedData!J25-TrimmedData!I25)+(TrimmedData!K25-TrimmedData!J25)+(TrimmedData!L25-TrimmedData!K25)+(TrimmedData!M25-TrimmedData!L25))/4</f>
        <v>2.5000000000000022E-2</v>
      </c>
      <c r="DN59" s="4"/>
    </row>
    <row r="60" spans="1:118" s="3" customFormat="1" ht="12" customHeight="1" x14ac:dyDescent="0.2">
      <c r="A60" s="27">
        <v>43951</v>
      </c>
      <c r="B60" s="1" t="s">
        <v>478</v>
      </c>
      <c r="C60" s="1" t="s">
        <v>15</v>
      </c>
      <c r="D60" s="23">
        <v>1954</v>
      </c>
      <c r="E60" s="38">
        <v>1</v>
      </c>
      <c r="F60" s="23">
        <v>125</v>
      </c>
      <c r="G60" s="23">
        <v>25</v>
      </c>
      <c r="H60" s="23" t="s">
        <v>17</v>
      </c>
      <c r="I60" s="23" t="s">
        <v>479</v>
      </c>
      <c r="J60" s="23" t="s">
        <v>190</v>
      </c>
      <c r="K60" s="23">
        <f t="shared" si="0"/>
        <v>21</v>
      </c>
      <c r="L60" s="23">
        <f t="shared" si="1"/>
        <v>4</v>
      </c>
      <c r="M60" s="23">
        <v>1</v>
      </c>
      <c r="N60" s="23">
        <v>2</v>
      </c>
      <c r="O60" s="23">
        <v>0</v>
      </c>
      <c r="P60" s="23"/>
      <c r="Q60" s="23" t="s">
        <v>45</v>
      </c>
      <c r="R60" s="23">
        <f t="shared" si="2"/>
        <v>2</v>
      </c>
      <c r="S60" s="23" t="s">
        <v>11</v>
      </c>
      <c r="T60" s="22" t="s">
        <v>163</v>
      </c>
      <c r="U60" s="23">
        <f t="shared" si="3"/>
        <v>0</v>
      </c>
      <c r="V60" s="22">
        <v>12</v>
      </c>
      <c r="W60" s="23">
        <f t="shared" si="4"/>
        <v>1500</v>
      </c>
      <c r="X60" s="23">
        <v>5</v>
      </c>
      <c r="Y60" s="38">
        <f>TrimmedData!I28</f>
        <v>240</v>
      </c>
      <c r="Z60" s="23" t="s">
        <v>480</v>
      </c>
      <c r="AA60" s="23">
        <f>60*60*72</f>
        <v>259200</v>
      </c>
      <c r="AB60" s="23" t="str">
        <f t="shared" si="5"/>
        <v>3</v>
      </c>
      <c r="AC60" s="19">
        <f>AVERAGE(TrimmedData!I28:M28)</f>
        <v>108048</v>
      </c>
      <c r="AD60" s="23" t="str">
        <f t="shared" si="6"/>
        <v>3</v>
      </c>
      <c r="AE60" s="38">
        <f t="shared" si="7"/>
        <v>258960</v>
      </c>
      <c r="AF60" s="41">
        <f>TrimmedData!I29</f>
        <v>0.21333333333333335</v>
      </c>
      <c r="AG60" s="19">
        <f>((TrimmedData!J29-TrimmedData!I29)+(TrimmedData!K29-TrimmedData!J29)+(TrimmedData!L29-TrimmedData!K29)+(TrimmedData!M29-TrimmedData!L29))/4</f>
        <v>5.1666666666666659E-2</v>
      </c>
      <c r="DN60" s="4"/>
    </row>
    <row r="61" spans="1:118" s="3" customFormat="1" ht="12" customHeight="1" x14ac:dyDescent="0.2">
      <c r="A61" s="27">
        <v>43951</v>
      </c>
      <c r="B61" s="1" t="s">
        <v>478</v>
      </c>
      <c r="C61" s="1" t="s">
        <v>15</v>
      </c>
      <c r="D61" s="23">
        <v>1954</v>
      </c>
      <c r="E61" s="38">
        <v>1</v>
      </c>
      <c r="F61" s="23">
        <v>25</v>
      </c>
      <c r="G61" s="23">
        <v>5</v>
      </c>
      <c r="H61" s="23" t="s">
        <v>25</v>
      </c>
      <c r="I61" s="23" t="s">
        <v>393</v>
      </c>
      <c r="J61" s="23" t="s">
        <v>190</v>
      </c>
      <c r="K61" s="23">
        <f t="shared" si="0"/>
        <v>21</v>
      </c>
      <c r="L61" s="23">
        <f t="shared" si="1"/>
        <v>4</v>
      </c>
      <c r="M61" s="23">
        <v>1</v>
      </c>
      <c r="N61" s="23">
        <v>2</v>
      </c>
      <c r="O61" s="23">
        <v>0</v>
      </c>
      <c r="P61" s="23"/>
      <c r="Q61" s="23" t="s">
        <v>45</v>
      </c>
      <c r="R61" s="23">
        <f t="shared" si="2"/>
        <v>2</v>
      </c>
      <c r="S61" s="23" t="s">
        <v>11</v>
      </c>
      <c r="T61" s="22" t="s">
        <v>163</v>
      </c>
      <c r="U61" s="23">
        <f t="shared" si="3"/>
        <v>0</v>
      </c>
      <c r="V61" s="22">
        <v>12</v>
      </c>
      <c r="W61" s="23">
        <f t="shared" si="4"/>
        <v>300</v>
      </c>
      <c r="X61" s="23">
        <v>5</v>
      </c>
      <c r="Y61" s="38">
        <f>TrimmedData!I30</f>
        <v>240</v>
      </c>
      <c r="Z61" s="23" t="s">
        <v>480</v>
      </c>
      <c r="AA61" s="23">
        <f>60*60*72</f>
        <v>259200</v>
      </c>
      <c r="AB61" s="23" t="str">
        <f t="shared" si="5"/>
        <v>3</v>
      </c>
      <c r="AC61" s="19">
        <f>AVERAGE(TrimmedData!I30:M30)</f>
        <v>108048</v>
      </c>
      <c r="AD61" s="23" t="str">
        <f t="shared" si="6"/>
        <v>3</v>
      </c>
      <c r="AE61" s="38">
        <f t="shared" si="7"/>
        <v>258960</v>
      </c>
      <c r="AF61" s="41">
        <f>TrimmedData!I31</f>
        <v>0.49302759668930835</v>
      </c>
      <c r="AG61" s="19">
        <f>((TrimmedData!J31-TrimmedData!I31)+(TrimmedData!K31-TrimmedData!J31)+(TrimmedData!L31-TrimmedData!K31)+(TrimmedData!M31-TrimmedData!L31))/4</f>
        <v>4.5656805979118614E-3</v>
      </c>
      <c r="DN61" s="4"/>
    </row>
    <row r="62" spans="1:118" s="3" customFormat="1" ht="12" customHeight="1" x14ac:dyDescent="0.2">
      <c r="A62" s="27">
        <v>43900</v>
      </c>
      <c r="B62" s="1" t="s">
        <v>263</v>
      </c>
      <c r="C62" s="1" t="s">
        <v>264</v>
      </c>
      <c r="D62" s="23">
        <v>1984</v>
      </c>
      <c r="E62" s="38">
        <v>1</v>
      </c>
      <c r="F62" s="23">
        <v>5</v>
      </c>
      <c r="G62" s="23">
        <v>5</v>
      </c>
      <c r="H62" s="23" t="s">
        <v>27</v>
      </c>
      <c r="I62" s="23" t="s">
        <v>197</v>
      </c>
      <c r="J62" s="23" t="s">
        <v>208</v>
      </c>
      <c r="K62" s="23">
        <f t="shared" si="0"/>
        <v>26</v>
      </c>
      <c r="L62" s="23">
        <f t="shared" si="1"/>
        <v>4</v>
      </c>
      <c r="M62" s="23">
        <v>1</v>
      </c>
      <c r="N62" s="23">
        <v>2</v>
      </c>
      <c r="O62" s="23">
        <v>0</v>
      </c>
      <c r="P62" s="23"/>
      <c r="Q62" s="23" t="s">
        <v>106</v>
      </c>
      <c r="R62" s="23">
        <f t="shared" si="2"/>
        <v>1</v>
      </c>
      <c r="S62" s="23" t="s">
        <v>31</v>
      </c>
      <c r="T62" s="22" t="s">
        <v>342</v>
      </c>
      <c r="U62" s="23">
        <f t="shared" si="3"/>
        <v>1</v>
      </c>
      <c r="V62" s="22">
        <v>132</v>
      </c>
      <c r="W62" s="23">
        <f t="shared" si="4"/>
        <v>660</v>
      </c>
      <c r="X62" s="23">
        <v>5</v>
      </c>
      <c r="Y62" s="38">
        <f>TrimmedData!I32</f>
        <v>157680000</v>
      </c>
      <c r="Z62" s="23" t="s">
        <v>229</v>
      </c>
      <c r="AA62" s="23">
        <f>45*365*24*60*60</f>
        <v>1419120000</v>
      </c>
      <c r="AB62" s="23" t="str">
        <f t="shared" si="5"/>
        <v>4</v>
      </c>
      <c r="AC62" s="19">
        <f>AVERAGE(TrimmedData!I32:M32)</f>
        <v>788400000</v>
      </c>
      <c r="AD62" s="23" t="str">
        <f t="shared" si="6"/>
        <v>4</v>
      </c>
      <c r="AE62" s="38">
        <f t="shared" si="7"/>
        <v>1261440000</v>
      </c>
      <c r="AF62" s="41">
        <f>TrimmedData!I33</f>
        <v>0.79166666666666674</v>
      </c>
      <c r="AG62" s="19">
        <f>((TrimmedData!J33-TrimmedData!I33)+(TrimmedData!K33-TrimmedData!J33)+(TrimmedData!L33-TrimmedData!K33)+(TrimmedData!M33-TrimmedData!L33))/4</f>
        <v>1.1542792792792772E-2</v>
      </c>
      <c r="DN62" s="4"/>
    </row>
    <row r="63" spans="1:118" s="3" customFormat="1" ht="12" customHeight="1" x14ac:dyDescent="0.2">
      <c r="A63" s="27">
        <v>43902</v>
      </c>
      <c r="B63" s="32" t="s">
        <v>286</v>
      </c>
      <c r="C63" s="32" t="s">
        <v>81</v>
      </c>
      <c r="D63" s="31">
        <v>1982</v>
      </c>
      <c r="E63" s="44">
        <v>1</v>
      </c>
      <c r="F63" s="31">
        <v>12</v>
      </c>
      <c r="G63" s="31">
        <v>12</v>
      </c>
      <c r="H63" s="31" t="s">
        <v>287</v>
      </c>
      <c r="I63" s="31" t="s">
        <v>197</v>
      </c>
      <c r="J63" s="31" t="s">
        <v>208</v>
      </c>
      <c r="K63" s="31">
        <f t="shared" si="0"/>
        <v>26</v>
      </c>
      <c r="L63" s="31">
        <f t="shared" si="1"/>
        <v>4</v>
      </c>
      <c r="M63" s="31">
        <v>1</v>
      </c>
      <c r="N63" s="31">
        <v>3</v>
      </c>
      <c r="O63" s="31">
        <v>0</v>
      </c>
      <c r="P63" s="31"/>
      <c r="Q63" s="31" t="s">
        <v>106</v>
      </c>
      <c r="R63" s="31">
        <f t="shared" si="2"/>
        <v>1</v>
      </c>
      <c r="S63" s="31" t="s">
        <v>31</v>
      </c>
      <c r="T63" s="46" t="s">
        <v>342</v>
      </c>
      <c r="U63" s="31">
        <f t="shared" si="3"/>
        <v>1</v>
      </c>
      <c r="V63" s="46">
        <v>132</v>
      </c>
      <c r="W63" s="31">
        <f t="shared" si="4"/>
        <v>1584</v>
      </c>
      <c r="X63" s="31">
        <v>5</v>
      </c>
      <c r="Y63" s="44">
        <f>TrimmedData!I32</f>
        <v>157680000</v>
      </c>
      <c r="Z63" s="31" t="s">
        <v>229</v>
      </c>
      <c r="AA63" s="31">
        <f>45*365*24*60*60</f>
        <v>1419120000</v>
      </c>
      <c r="AB63" s="31" t="str">
        <f t="shared" si="5"/>
        <v>4</v>
      </c>
      <c r="AC63" s="34">
        <f>AVERAGE(TrimmedData!I34:M34)</f>
        <v>788400000</v>
      </c>
      <c r="AD63" s="31" t="str">
        <f t="shared" si="6"/>
        <v>4</v>
      </c>
      <c r="AE63" s="44">
        <f t="shared" si="7"/>
        <v>1261440000</v>
      </c>
      <c r="AF63" s="45">
        <f>TrimmedData!I35</f>
        <v>0.75409836065573776</v>
      </c>
      <c r="AG63" s="34">
        <f>((TrimmedData!J35-TrimmedData!I35)+(TrimmedData!K35-TrimmedData!J35)+(TrimmedData!L35-TrimmedData!K35)+(TrimmedData!M35-TrimmedData!L35))/4</f>
        <v>1.8371961560203487E-2</v>
      </c>
      <c r="DN63" s="4"/>
    </row>
    <row r="64" spans="1:118" s="3" customFormat="1" ht="12" customHeight="1" x14ac:dyDescent="0.2">
      <c r="A64" s="27">
        <v>43902</v>
      </c>
      <c r="B64" s="32" t="s">
        <v>286</v>
      </c>
      <c r="C64" s="32" t="s">
        <v>81</v>
      </c>
      <c r="D64" s="31">
        <v>1982</v>
      </c>
      <c r="E64" s="44">
        <v>1</v>
      </c>
      <c r="F64" s="31">
        <v>12</v>
      </c>
      <c r="G64" s="31">
        <v>12</v>
      </c>
      <c r="H64" s="31" t="s">
        <v>287</v>
      </c>
      <c r="I64" s="31" t="s">
        <v>197</v>
      </c>
      <c r="J64" s="31" t="s">
        <v>206</v>
      </c>
      <c r="K64" s="31">
        <f t="shared" si="0"/>
        <v>46</v>
      </c>
      <c r="L64" s="31">
        <f t="shared" si="1"/>
        <v>7</v>
      </c>
      <c r="M64" s="31">
        <v>1</v>
      </c>
      <c r="N64" s="31">
        <v>4</v>
      </c>
      <c r="O64" s="31">
        <v>0</v>
      </c>
      <c r="P64" s="31"/>
      <c r="Q64" s="31" t="s">
        <v>106</v>
      </c>
      <c r="R64" s="31">
        <f t="shared" si="2"/>
        <v>1</v>
      </c>
      <c r="S64" s="31" t="s">
        <v>31</v>
      </c>
      <c r="T64" s="46" t="s">
        <v>342</v>
      </c>
      <c r="U64" s="31">
        <f t="shared" si="3"/>
        <v>1</v>
      </c>
      <c r="V64" s="46">
        <v>132</v>
      </c>
      <c r="W64" s="31">
        <f t="shared" si="4"/>
        <v>1584</v>
      </c>
      <c r="X64" s="31">
        <v>5</v>
      </c>
      <c r="Y64" s="44">
        <f>TrimmedData!I34</f>
        <v>157680000</v>
      </c>
      <c r="Z64" s="31" t="s">
        <v>229</v>
      </c>
      <c r="AA64" s="31">
        <f>45*365*24*60*60</f>
        <v>1419120000</v>
      </c>
      <c r="AB64" s="31" t="str">
        <f t="shared" si="5"/>
        <v>4</v>
      </c>
      <c r="AC64" s="34">
        <f>AVERAGE(TrimmedData!I36:M36)</f>
        <v>788400000</v>
      </c>
      <c r="AD64" s="31" t="str">
        <f t="shared" si="6"/>
        <v>4</v>
      </c>
      <c r="AE64" s="44">
        <f t="shared" si="7"/>
        <v>1261440000</v>
      </c>
      <c r="AF64" s="45">
        <f>TrimmedData!I37</f>
        <v>0.72687224669603523</v>
      </c>
      <c r="AG64" s="34">
        <f>((TrimmedData!J37-TrimmedData!I37)+(TrimmedData!K37-TrimmedData!J37)+(TrimmedData!L37-TrimmedData!K37)+(TrimmedData!M37-TrimmedData!L37))/4</f>
        <v>1.93688948477303E-2</v>
      </c>
      <c r="DN64" s="4"/>
    </row>
    <row r="65" spans="1:118" s="3" customFormat="1" ht="12" customHeight="1" x14ac:dyDescent="0.2">
      <c r="A65" s="27">
        <v>43895</v>
      </c>
      <c r="B65" s="1" t="s">
        <v>205</v>
      </c>
      <c r="C65" s="1" t="s">
        <v>36</v>
      </c>
      <c r="D65" s="23">
        <v>1983</v>
      </c>
      <c r="E65" s="38">
        <v>1</v>
      </c>
      <c r="F65" s="23">
        <v>10</v>
      </c>
      <c r="G65" s="23">
        <v>10</v>
      </c>
      <c r="H65" s="23" t="s">
        <v>207</v>
      </c>
      <c r="I65" s="23" t="s">
        <v>197</v>
      </c>
      <c r="J65" s="23" t="s">
        <v>206</v>
      </c>
      <c r="K65" s="23">
        <f t="shared" si="0"/>
        <v>46</v>
      </c>
      <c r="L65" s="23">
        <f t="shared" si="1"/>
        <v>7</v>
      </c>
      <c r="M65" s="25">
        <v>1</v>
      </c>
      <c r="N65" s="22">
        <v>4</v>
      </c>
      <c r="O65" s="25">
        <v>0</v>
      </c>
      <c r="P65" s="23"/>
      <c r="Q65" s="23" t="s">
        <v>106</v>
      </c>
      <c r="R65" s="23">
        <f t="shared" si="2"/>
        <v>1</v>
      </c>
      <c r="S65" s="25" t="s">
        <v>31</v>
      </c>
      <c r="T65" s="22" t="s">
        <v>342</v>
      </c>
      <c r="U65" s="23">
        <f t="shared" si="3"/>
        <v>1</v>
      </c>
      <c r="V65" s="22">
        <v>132</v>
      </c>
      <c r="W65" s="23">
        <f t="shared" si="4"/>
        <v>1320</v>
      </c>
      <c r="X65" s="23">
        <v>5</v>
      </c>
      <c r="Y65" s="38">
        <f>TrimmedData!I38</f>
        <v>157680000</v>
      </c>
      <c r="Z65" s="23" t="s">
        <v>229</v>
      </c>
      <c r="AA65" s="23">
        <f>45*365*24*60*60</f>
        <v>1419120000</v>
      </c>
      <c r="AB65" s="23" t="str">
        <f t="shared" si="5"/>
        <v>4</v>
      </c>
      <c r="AC65" s="19">
        <f>AVERAGE(TrimmedData!I38:M38)</f>
        <v>788400000</v>
      </c>
      <c r="AD65" s="23" t="str">
        <f t="shared" si="6"/>
        <v>4</v>
      </c>
      <c r="AE65" s="38">
        <f t="shared" si="7"/>
        <v>1261440000</v>
      </c>
      <c r="AF65" s="41">
        <f>TrimmedData!I39</f>
        <v>0.8125</v>
      </c>
      <c r="AG65" s="19">
        <f>((TrimmedData!J39-TrimmedData!I39)+(TrimmedData!K39-TrimmedData!J39)+(TrimmedData!L39-TrimmedData!K39)+(TrimmedData!M39-TrimmedData!L39))/4</f>
        <v>2.7573529411764608E-3</v>
      </c>
      <c r="DN65" s="4"/>
    </row>
    <row r="66" spans="1:118" s="3" customFormat="1" ht="12" customHeight="1" x14ac:dyDescent="0.2">
      <c r="A66" s="27">
        <v>43895</v>
      </c>
      <c r="B66" s="1" t="s">
        <v>205</v>
      </c>
      <c r="C66" s="1" t="s">
        <v>36</v>
      </c>
      <c r="D66" s="23">
        <v>1983</v>
      </c>
      <c r="E66" s="38">
        <v>1</v>
      </c>
      <c r="F66" s="23">
        <v>10</v>
      </c>
      <c r="G66" s="23">
        <v>10</v>
      </c>
      <c r="H66" s="23" t="s">
        <v>27</v>
      </c>
      <c r="I66" s="23" t="s">
        <v>197</v>
      </c>
      <c r="J66" s="23" t="s">
        <v>208</v>
      </c>
      <c r="K66" s="23">
        <f t="shared" si="0"/>
        <v>26</v>
      </c>
      <c r="L66" s="23">
        <f t="shared" si="1"/>
        <v>4</v>
      </c>
      <c r="M66" s="25">
        <v>1</v>
      </c>
      <c r="N66" s="22">
        <v>3</v>
      </c>
      <c r="O66" s="25">
        <v>0</v>
      </c>
      <c r="P66" s="23"/>
      <c r="Q66" s="23" t="s">
        <v>106</v>
      </c>
      <c r="R66" s="23">
        <f t="shared" si="2"/>
        <v>1</v>
      </c>
      <c r="S66" s="25" t="s">
        <v>31</v>
      </c>
      <c r="T66" s="22" t="s">
        <v>342</v>
      </c>
      <c r="U66" s="23">
        <f t="shared" si="3"/>
        <v>1</v>
      </c>
      <c r="V66" s="22">
        <v>132</v>
      </c>
      <c r="W66" s="23">
        <f t="shared" si="4"/>
        <v>1320</v>
      </c>
      <c r="X66" s="23">
        <v>5</v>
      </c>
      <c r="Y66" s="38">
        <f>TrimmedData!I40</f>
        <v>157680000</v>
      </c>
      <c r="Z66" s="23" t="s">
        <v>229</v>
      </c>
      <c r="AA66" s="23">
        <f>45*365*24*60*60</f>
        <v>1419120000</v>
      </c>
      <c r="AB66" s="23" t="str">
        <f t="shared" si="5"/>
        <v>4</v>
      </c>
      <c r="AC66" s="19">
        <f>AVERAGE(TrimmedData!I40:M40)</f>
        <v>788400000</v>
      </c>
      <c r="AD66" s="23" t="str">
        <f t="shared" si="6"/>
        <v>4</v>
      </c>
      <c r="AE66" s="38">
        <f t="shared" si="7"/>
        <v>1261440000</v>
      </c>
      <c r="AF66" s="41">
        <f>TrimmedData!I41</f>
        <v>0.76</v>
      </c>
      <c r="AG66" s="19">
        <f>((TrimmedData!J41-TrimmedData!I41)+(TrimmedData!K41-TrimmedData!J41)+(TrimmedData!L41-TrimmedData!K41)+(TrimmedData!M41-TrimmedData!L41))/4</f>
        <v>1.3389830508474587E-2</v>
      </c>
      <c r="DN66" s="4"/>
    </row>
    <row r="67" spans="1:118" ht="12" customHeight="1" x14ac:dyDescent="0.25">
      <c r="A67" s="27">
        <v>43903</v>
      </c>
      <c r="B67" s="5" t="s">
        <v>295</v>
      </c>
      <c r="C67" s="5" t="s">
        <v>164</v>
      </c>
      <c r="D67" s="22">
        <v>2020</v>
      </c>
      <c r="E67" s="37">
        <v>1</v>
      </c>
      <c r="F67" s="22">
        <v>230</v>
      </c>
      <c r="G67" s="22">
        <v>28.8</v>
      </c>
      <c r="H67" s="22" t="s">
        <v>433</v>
      </c>
      <c r="I67" s="22" t="s">
        <v>496</v>
      </c>
      <c r="J67" s="26" t="s">
        <v>297</v>
      </c>
      <c r="K67" s="23">
        <f t="shared" si="0"/>
        <v>45</v>
      </c>
      <c r="L67" s="23">
        <f t="shared" si="1"/>
        <v>7</v>
      </c>
      <c r="M67" s="22">
        <v>0</v>
      </c>
      <c r="N67" s="23">
        <v>3</v>
      </c>
      <c r="O67" s="22">
        <v>0</v>
      </c>
      <c r="P67" s="22"/>
      <c r="Q67" s="22" t="s">
        <v>111</v>
      </c>
      <c r="R67" s="23">
        <f t="shared" si="2"/>
        <v>4</v>
      </c>
      <c r="S67" s="22" t="s">
        <v>296</v>
      </c>
      <c r="T67" s="22" t="s">
        <v>163</v>
      </c>
      <c r="U67" s="23">
        <f t="shared" si="3"/>
        <v>0</v>
      </c>
      <c r="V67" s="22">
        <v>12</v>
      </c>
      <c r="W67" s="23">
        <f t="shared" si="4"/>
        <v>2760</v>
      </c>
      <c r="X67" s="23">
        <v>8</v>
      </c>
      <c r="Y67" s="38">
        <f>TrimmedData!I44</f>
        <v>15768000</v>
      </c>
      <c r="Z67" s="22" t="s">
        <v>298</v>
      </c>
      <c r="AA67" s="23">
        <f>7.5*365*24*60*60</f>
        <v>236520000</v>
      </c>
      <c r="AB67" s="23" t="str">
        <f t="shared" si="5"/>
        <v>4</v>
      </c>
      <c r="AC67" s="19">
        <f>AVERAGE(TrimmedData!I44:P44)</f>
        <v>70956000</v>
      </c>
      <c r="AD67" s="23" t="str">
        <f t="shared" si="6"/>
        <v>4</v>
      </c>
      <c r="AE67" s="38">
        <f t="shared" si="7"/>
        <v>220752000</v>
      </c>
      <c r="AF67" s="41">
        <f>TrimmedData!I45</f>
        <v>0.26041666662499996</v>
      </c>
      <c r="AG67" s="21">
        <f>((TrimmedData!J45-TrimmedData!I45)+(TrimmedData!K45-TrimmedData!J45)+(TrimmedData!L45-TrimmedData!K45)+(TrimmedData!M45-TrimmedData!L45)+(TrimmedData!N45-TrimmedData!M45)+(TrimmedData!O45-TrimmedData!N45)+(TrimmedData!P45-TrimmedData!O45)/7)</f>
        <v>9.4696972889622526E-4</v>
      </c>
      <c r="DN67" s="3"/>
    </row>
    <row r="68" spans="1:118" s="3" customFormat="1" ht="12" customHeight="1" x14ac:dyDescent="0.2">
      <c r="A68" s="27">
        <v>43898</v>
      </c>
      <c r="B68" s="32" t="s">
        <v>237</v>
      </c>
      <c r="C68" s="32" t="s">
        <v>36</v>
      </c>
      <c r="D68" s="31">
        <v>1990</v>
      </c>
      <c r="E68" s="44">
        <v>1</v>
      </c>
      <c r="F68" s="31">
        <v>27</v>
      </c>
      <c r="G68" s="31">
        <v>27</v>
      </c>
      <c r="H68" s="31" t="s">
        <v>238</v>
      </c>
      <c r="I68" s="31" t="s">
        <v>197</v>
      </c>
      <c r="J68" s="31" t="s">
        <v>206</v>
      </c>
      <c r="K68" s="31">
        <f t="shared" ref="K68:K87" si="10">IF(J68="syllables",1,IF(J68="trigrams",2,IF(J68="strings",3,IF(J68="visual array",4,IF(J68="characters",5,IF(J68="letters",6,IF(J68="free forms",7,IF(J68="odors",8,IF(J68="words",9,IF(J68="pictures",10,IF(J68="object pictures",11,IF(J68="faces",12,IF(J68="names",13,IF(J68="idioms",14,IF(J68="grades",15,IF(J68="syllable-digit pairs",16,IF(J68="trigram-word pairs",17,IF(J68="word-digit pairs",18,IF(J68="English-Swahili pairs",19,IF(J68="spatial position",20,IF(J68="word pairs",21,IF(J68="word triads",22,IF(J68="generated words",23,IF(J68="word definition pairs",24,IF(J68="math problems",25,IF(J68="famous faces",26,IF(J68="famous names",27,IF(J68="famous voices",28,IF(J68="television programs",29,IF(J68="race horses",30,IF(J68="new vocabulary",31,IF(J68="sentences",32,IF(J68="concepts",33,IF(J68="ad slides",34,IF(J68="scenes",35,IF(J68="famous scenes",36,IF(J68="poems",37,IF(J68="walk",38,IF(J68="faces and events",39,IF(J68="events and names",40,IF(J68="flashbulb",41,IF(J68="stories",42,IF(J68="course material",43,IF(J68="autobiographical",44,IF(J68="novels",45,IF(J68="public events",46,"99"))))))))))))))))))))))))))))))))))))))))))))))</f>
        <v>46</v>
      </c>
      <c r="L68" s="31">
        <f t="shared" ref="L68:L87" si="11">IF(J68="syllables",1,IF(J68="trigrams",1,IF(J68="strings",1,IF(J68="visual array",1,IF(J68="characters",1,IF(J68="letters",1,IF(J68="free forms",1,IF(J68="odors",2,IF(J68="words",2,IF(J68="pictures",2,IF(J68="object pictures",2,IF(J68="faces",2,IF(J68="names",2,IF(J68="idioms","2",IF(J68="grades",2,IF(J68="syllable-digit pairs",3,IF(J68="trigram-word pairs",3,IF(J68="word-digit pairs",3,IF(J68="English-Swahili pairs",3,IF(J68="spatial position",3,IF(J68="word pairs",4,IF(J68="word triads",4,IF(J68="generated words",4,IF(J68="word definition pairs",4,IF(J68="math problems",4,IF(J68="famous faces",4,IF(J68="famous names",4,IF(J68="famous voices",4,IF(J68="television programs",4,IF(J68="race horses",4,IF(J68="new vocabulary",4,IF(J68="sentences",5,IF(J68="concepts",5,IF(J68="ad slides",5,IF(J68="scenes",5,IF(J68="famous scenes",5,IF(J68="poems",6,IF(J68="walk",6,IF(J68="faces and events",6,IF(J68="events and names",6,IF(J68="flashbulb",7,IF(J68="stories",7,IF(J68="course material",7,IF(J68="autobiographical",7,IF(J68="novels",7,IF(J68="public events",7,"99"))))))))))))))))))))))))))))))))))))))))))))))</f>
        <v>7</v>
      </c>
      <c r="M68" s="31">
        <v>1</v>
      </c>
      <c r="N68" s="46">
        <v>4</v>
      </c>
      <c r="O68" s="31">
        <v>0</v>
      </c>
      <c r="P68" s="31"/>
      <c r="Q68" s="31" t="s">
        <v>106</v>
      </c>
      <c r="R68" s="31">
        <f t="shared" ref="R68:R87" si="12">IF(Q68="Free Recall",1,IF(Q68="Cued Recall",2,IF(Q68="Recognition",3,IF(Q68="Multiple Choice",4,IF(Q68="Savings",5,IF(Q68="Stem Completion",6,IF(Q68="Fragment Completion",7,IF(Q68="anagram solution",8,IF(Q68="Matching",9,IF(Q68="Problem Solving",10,"99"))))))))))</f>
        <v>1</v>
      </c>
      <c r="S68" s="51" t="s">
        <v>31</v>
      </c>
      <c r="T68" s="46" t="s">
        <v>342</v>
      </c>
      <c r="U68" s="31">
        <f t="shared" ref="U68:U87" si="13">IF(T68="within",1,0)</f>
        <v>1</v>
      </c>
      <c r="V68" s="46">
        <v>110</v>
      </c>
      <c r="W68" s="31">
        <f t="shared" ref="W68:W87" si="14">F68*V68</f>
        <v>2970</v>
      </c>
      <c r="X68" s="31">
        <v>9</v>
      </c>
      <c r="Y68" s="44">
        <f>TrimmedData!I56</f>
        <v>47304000</v>
      </c>
      <c r="Z68" s="46" t="s">
        <v>239</v>
      </c>
      <c r="AA68" s="31">
        <f>33*365*24*60*60</f>
        <v>1040688000</v>
      </c>
      <c r="AB68" s="31" t="str">
        <f t="shared" ref="AB68:AB87" si="15">IF(AA68&lt;60,"1",IF(AA68&lt;=43200,"2",IF(AA68&lt;=777600,"3","4")))</f>
        <v>4</v>
      </c>
      <c r="AC68" s="34">
        <f>AVERAGE(TrimmedData!I56:Q56)</f>
        <v>473040000</v>
      </c>
      <c r="AD68" s="31" t="str">
        <f t="shared" ref="AD68:AD87" si="16">IF(AC68&lt;60,"1",IF(AC68&lt;=43200,"2",IF(AC68&lt;=777600,"3","4")))</f>
        <v>4</v>
      </c>
      <c r="AE68" s="44">
        <f t="shared" ref="AE68:AE87" si="17">AA68-Y68</f>
        <v>993384000</v>
      </c>
      <c r="AF68" s="45">
        <f>TrimmedData!I57</f>
        <v>0.66</v>
      </c>
      <c r="AG68" s="34">
        <f>((TrimmedData!J57-TrimmedData!I57)+(TrimmedData!K57-TrimmedData!J57)+(TrimmedData!L57-TrimmedData!K57)+(TrimmedData!M57-TrimmedData!L57)+(TrimmedData!N57-TrimmedData!M57)+(TrimmedData!O57-TrimmedData!N57)+(TrimmedData!P57-TrimmedData!O57)+(TrimmedData!Q57-TrimmedData!P57))/8</f>
        <v>1.4999999999999999E-2</v>
      </c>
    </row>
    <row r="69" spans="1:118" s="3" customFormat="1" ht="12" customHeight="1" x14ac:dyDescent="0.2">
      <c r="A69" s="27">
        <v>43898</v>
      </c>
      <c r="B69" s="32" t="s">
        <v>237</v>
      </c>
      <c r="C69" s="32" t="s">
        <v>36</v>
      </c>
      <c r="D69" s="31">
        <v>1990</v>
      </c>
      <c r="E69" s="44">
        <v>1</v>
      </c>
      <c r="F69" s="31">
        <v>27</v>
      </c>
      <c r="G69" s="31">
        <v>27</v>
      </c>
      <c r="H69" s="31" t="s">
        <v>238</v>
      </c>
      <c r="I69" s="31" t="s">
        <v>197</v>
      </c>
      <c r="J69" s="31" t="s">
        <v>206</v>
      </c>
      <c r="K69" s="31">
        <f t="shared" si="10"/>
        <v>46</v>
      </c>
      <c r="L69" s="31">
        <f t="shared" si="11"/>
        <v>7</v>
      </c>
      <c r="M69" s="31">
        <v>1</v>
      </c>
      <c r="N69" s="46">
        <v>4</v>
      </c>
      <c r="O69" s="31">
        <v>0</v>
      </c>
      <c r="P69" s="31"/>
      <c r="Q69" s="31" t="s">
        <v>111</v>
      </c>
      <c r="R69" s="31">
        <f t="shared" si="12"/>
        <v>4</v>
      </c>
      <c r="S69" s="31" t="s">
        <v>11</v>
      </c>
      <c r="T69" s="46" t="s">
        <v>342</v>
      </c>
      <c r="U69" s="31">
        <f t="shared" si="13"/>
        <v>1</v>
      </c>
      <c r="V69" s="46">
        <v>110</v>
      </c>
      <c r="W69" s="31">
        <f t="shared" si="14"/>
        <v>2970</v>
      </c>
      <c r="X69" s="31">
        <v>9</v>
      </c>
      <c r="Y69" s="44">
        <f>TrimmedData!I58</f>
        <v>47304000</v>
      </c>
      <c r="Z69" s="46" t="s">
        <v>239</v>
      </c>
      <c r="AA69" s="31">
        <f>33*365*24*60*60</f>
        <v>1040688000</v>
      </c>
      <c r="AB69" s="31" t="str">
        <f t="shared" si="15"/>
        <v>4</v>
      </c>
      <c r="AC69" s="34">
        <f>AVERAGE(TrimmedData!I58:Q58)</f>
        <v>473040000</v>
      </c>
      <c r="AD69" s="31" t="str">
        <f t="shared" si="16"/>
        <v>4</v>
      </c>
      <c r="AE69" s="44">
        <f t="shared" si="17"/>
        <v>993384000</v>
      </c>
      <c r="AF69" s="45">
        <f>TrimmedData!I59</f>
        <v>0.86</v>
      </c>
      <c r="AG69" s="34">
        <f>((TrimmedData!J59-TrimmedData!I59)+(TrimmedData!K59-TrimmedData!J59)+(TrimmedData!L59-TrimmedData!K59)+(TrimmedData!M59-TrimmedData!L59)+(TrimmedData!N59-TrimmedData!M59)+(TrimmedData!O59-TrimmedData!N59)+(TrimmedData!P59-TrimmedData!O59)+(TrimmedData!Q59-TrimmedData!P59))/8</f>
        <v>8.7500000000000078E-3</v>
      </c>
    </row>
    <row r="70" spans="1:118" s="3" customFormat="1" ht="12" customHeight="1" x14ac:dyDescent="0.2">
      <c r="A70" s="27">
        <v>43509</v>
      </c>
      <c r="B70" s="32" t="s">
        <v>109</v>
      </c>
      <c r="C70" s="32" t="s">
        <v>110</v>
      </c>
      <c r="D70" s="31">
        <v>1978</v>
      </c>
      <c r="E70" s="44">
        <v>1</v>
      </c>
      <c r="F70" s="31">
        <v>207</v>
      </c>
      <c r="G70" s="31">
        <v>41.4</v>
      </c>
      <c r="H70" s="31" t="s">
        <v>24</v>
      </c>
      <c r="I70" s="31" t="s">
        <v>409</v>
      </c>
      <c r="J70" s="31" t="s">
        <v>343</v>
      </c>
      <c r="K70" s="31">
        <f t="shared" si="10"/>
        <v>43</v>
      </c>
      <c r="L70" s="31">
        <f t="shared" si="11"/>
        <v>7</v>
      </c>
      <c r="M70" s="31">
        <v>1</v>
      </c>
      <c r="N70" s="31">
        <v>4</v>
      </c>
      <c r="O70" s="31">
        <v>0</v>
      </c>
      <c r="P70" s="31"/>
      <c r="Q70" s="31" t="s">
        <v>111</v>
      </c>
      <c r="R70" s="31">
        <f t="shared" si="12"/>
        <v>4</v>
      </c>
      <c r="S70" s="31" t="s">
        <v>11</v>
      </c>
      <c r="T70" s="31" t="s">
        <v>163</v>
      </c>
      <c r="U70" s="31">
        <f t="shared" si="13"/>
        <v>0</v>
      </c>
      <c r="V70" s="31">
        <v>4</v>
      </c>
      <c r="W70" s="31">
        <f t="shared" si="14"/>
        <v>828</v>
      </c>
      <c r="X70" s="31">
        <v>5</v>
      </c>
      <c r="Y70" s="44">
        <f>TrimmedData!I60</f>
        <v>10368000</v>
      </c>
      <c r="Z70" s="31" t="s">
        <v>112</v>
      </c>
      <c r="AA70" s="31">
        <v>41472000</v>
      </c>
      <c r="AB70" s="31" t="str">
        <f t="shared" si="15"/>
        <v>4</v>
      </c>
      <c r="AC70" s="34">
        <f>AVERAGE(TrimmedData!I60:M60)</f>
        <v>25920000</v>
      </c>
      <c r="AD70" s="31" t="str">
        <f t="shared" si="16"/>
        <v>4</v>
      </c>
      <c r="AE70" s="44">
        <f t="shared" si="17"/>
        <v>31104000</v>
      </c>
      <c r="AF70" s="45">
        <f>TrimmedData!I61</f>
        <v>0.49</v>
      </c>
      <c r="AG70" s="34">
        <f>((TrimmedData!J61-TrimmedData!I61)+(TrimmedData!K61-TrimmedData!J61)+(TrimmedData!L61-TrimmedData!K61)+(TrimmedData!M61-TrimmedData!L61))/4</f>
        <v>1.1874999999999997E-2</v>
      </c>
    </row>
    <row r="71" spans="1:118" ht="12" customHeight="1" x14ac:dyDescent="0.2">
      <c r="A71" s="27">
        <v>43509</v>
      </c>
      <c r="B71" s="32" t="s">
        <v>109</v>
      </c>
      <c r="C71" s="32" t="s">
        <v>110</v>
      </c>
      <c r="D71" s="31">
        <v>1978</v>
      </c>
      <c r="E71" s="44">
        <v>1</v>
      </c>
      <c r="F71" s="31">
        <v>189</v>
      </c>
      <c r="G71" s="31">
        <v>37.799999999999997</v>
      </c>
      <c r="H71" s="31" t="s">
        <v>24</v>
      </c>
      <c r="I71" s="31" t="s">
        <v>413</v>
      </c>
      <c r="J71" s="31" t="s">
        <v>343</v>
      </c>
      <c r="K71" s="31">
        <f t="shared" si="10"/>
        <v>43</v>
      </c>
      <c r="L71" s="31">
        <f t="shared" si="11"/>
        <v>7</v>
      </c>
      <c r="M71" s="31">
        <v>1</v>
      </c>
      <c r="N71" s="31">
        <v>4</v>
      </c>
      <c r="O71" s="31">
        <v>0</v>
      </c>
      <c r="P71" s="31"/>
      <c r="Q71" s="31" t="s">
        <v>111</v>
      </c>
      <c r="R71" s="31">
        <f t="shared" si="12"/>
        <v>4</v>
      </c>
      <c r="S71" s="31" t="s">
        <v>11</v>
      </c>
      <c r="T71" s="31" t="s">
        <v>163</v>
      </c>
      <c r="U71" s="31">
        <f t="shared" si="13"/>
        <v>0</v>
      </c>
      <c r="V71" s="31">
        <v>4</v>
      </c>
      <c r="W71" s="31">
        <f t="shared" si="14"/>
        <v>756</v>
      </c>
      <c r="X71" s="31">
        <v>5</v>
      </c>
      <c r="Y71" s="44">
        <f>TrimmedData!I62</f>
        <v>10368000</v>
      </c>
      <c r="Z71" s="31" t="s">
        <v>112</v>
      </c>
      <c r="AA71" s="31">
        <v>41472000</v>
      </c>
      <c r="AB71" s="31" t="str">
        <f t="shared" si="15"/>
        <v>4</v>
      </c>
      <c r="AC71" s="34">
        <f>AVERAGE(TrimmedData!I62:M62)</f>
        <v>25920000</v>
      </c>
      <c r="AD71" s="31" t="str">
        <f t="shared" si="16"/>
        <v>4</v>
      </c>
      <c r="AE71" s="44">
        <f t="shared" si="17"/>
        <v>31104000</v>
      </c>
      <c r="AF71" s="45">
        <f>TrimmedData!I63</f>
        <v>0.4425</v>
      </c>
      <c r="AG71" s="34">
        <f>((TrimmedData!J63-TrimmedData!I63)+(TrimmedData!K63-TrimmedData!J63)+(TrimmedData!L63-TrimmedData!K63)+(TrimmedData!M63-TrimmedData!L63))/4</f>
        <v>1.3124999999999998E-2</v>
      </c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</row>
    <row r="72" spans="1:118" ht="12" customHeight="1" x14ac:dyDescent="0.2">
      <c r="A72" s="27">
        <v>43509</v>
      </c>
      <c r="B72" s="32" t="s">
        <v>109</v>
      </c>
      <c r="C72" s="32" t="s">
        <v>110</v>
      </c>
      <c r="D72" s="31">
        <v>1978</v>
      </c>
      <c r="E72" s="44">
        <v>1</v>
      </c>
      <c r="F72" s="31">
        <v>189</v>
      </c>
      <c r="G72" s="31">
        <v>37.799999999999997</v>
      </c>
      <c r="H72" s="31" t="s">
        <v>24</v>
      </c>
      <c r="I72" s="31" t="s">
        <v>414</v>
      </c>
      <c r="J72" s="31" t="s">
        <v>343</v>
      </c>
      <c r="K72" s="31">
        <f t="shared" si="10"/>
        <v>43</v>
      </c>
      <c r="L72" s="31">
        <f t="shared" si="11"/>
        <v>7</v>
      </c>
      <c r="M72" s="31">
        <v>1</v>
      </c>
      <c r="N72" s="31">
        <v>4</v>
      </c>
      <c r="O72" s="31">
        <v>0</v>
      </c>
      <c r="P72" s="31"/>
      <c r="Q72" s="31" t="s">
        <v>111</v>
      </c>
      <c r="R72" s="31">
        <f t="shared" si="12"/>
        <v>4</v>
      </c>
      <c r="S72" s="31" t="s">
        <v>11</v>
      </c>
      <c r="T72" s="31" t="s">
        <v>163</v>
      </c>
      <c r="U72" s="31">
        <f t="shared" si="13"/>
        <v>0</v>
      </c>
      <c r="V72" s="31">
        <v>3</v>
      </c>
      <c r="W72" s="31">
        <f t="shared" si="14"/>
        <v>567</v>
      </c>
      <c r="X72" s="31">
        <v>5</v>
      </c>
      <c r="Y72" s="44">
        <f>TrimmedData!I64</f>
        <v>10368000</v>
      </c>
      <c r="Z72" s="31" t="s">
        <v>112</v>
      </c>
      <c r="AA72" s="31">
        <v>41472000</v>
      </c>
      <c r="AB72" s="31" t="str">
        <f t="shared" si="15"/>
        <v>4</v>
      </c>
      <c r="AC72" s="34">
        <f>AVERAGE(TrimmedData!I64:M64)</f>
        <v>25920000</v>
      </c>
      <c r="AD72" s="31" t="str">
        <f t="shared" si="16"/>
        <v>4</v>
      </c>
      <c r="AE72" s="44">
        <f t="shared" si="17"/>
        <v>31104000</v>
      </c>
      <c r="AF72" s="45">
        <f>TrimmedData!I65</f>
        <v>0.34</v>
      </c>
      <c r="AG72" s="34">
        <f>((TrimmedData!J65-TrimmedData!I65)+(TrimmedData!K65-TrimmedData!J65)+(TrimmedData!L65-TrimmedData!K65)+(TrimmedData!M65-TrimmedData!L65))/4</f>
        <v>4.2499999999999996E-2</v>
      </c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</row>
    <row r="73" spans="1:118" ht="12" customHeight="1" x14ac:dyDescent="0.2">
      <c r="A73" s="27">
        <v>43895</v>
      </c>
      <c r="B73" s="32" t="s">
        <v>211</v>
      </c>
      <c r="C73" s="32" t="s">
        <v>36</v>
      </c>
      <c r="D73" s="31">
        <v>1995</v>
      </c>
      <c r="E73" s="44">
        <v>1</v>
      </c>
      <c r="F73" s="31">
        <v>6</v>
      </c>
      <c r="G73" s="31">
        <v>6</v>
      </c>
      <c r="H73" s="31" t="s">
        <v>17</v>
      </c>
      <c r="I73" s="31" t="s">
        <v>197</v>
      </c>
      <c r="J73" s="31" t="s">
        <v>206</v>
      </c>
      <c r="K73" s="31">
        <f t="shared" si="10"/>
        <v>46</v>
      </c>
      <c r="L73" s="31">
        <f t="shared" si="11"/>
        <v>7</v>
      </c>
      <c r="M73" s="31">
        <v>1</v>
      </c>
      <c r="N73" s="46">
        <v>4</v>
      </c>
      <c r="O73" s="31">
        <v>0</v>
      </c>
      <c r="P73" s="31"/>
      <c r="Q73" s="31" t="s">
        <v>106</v>
      </c>
      <c r="R73" s="31">
        <f t="shared" si="12"/>
        <v>1</v>
      </c>
      <c r="S73" s="51" t="s">
        <v>31</v>
      </c>
      <c r="T73" s="46" t="s">
        <v>342</v>
      </c>
      <c r="U73" s="31">
        <f t="shared" si="13"/>
        <v>1</v>
      </c>
      <c r="V73" s="46">
        <v>48</v>
      </c>
      <c r="W73" s="31">
        <f t="shared" si="14"/>
        <v>288</v>
      </c>
      <c r="X73" s="31">
        <v>6</v>
      </c>
      <c r="Y73" s="44">
        <f>TrimmedData!I70</f>
        <v>157680000</v>
      </c>
      <c r="Z73" s="46" t="s">
        <v>199</v>
      </c>
      <c r="AA73" s="31">
        <f>30*365*24*60*60</f>
        <v>946080000</v>
      </c>
      <c r="AB73" s="31" t="str">
        <f t="shared" si="15"/>
        <v>4</v>
      </c>
      <c r="AC73" s="34">
        <f>AVERAGE(TrimmedData!I70:N70)</f>
        <v>551880000</v>
      </c>
      <c r="AD73" s="31" t="str">
        <f t="shared" si="16"/>
        <v>4</v>
      </c>
      <c r="AE73" s="44">
        <f t="shared" si="17"/>
        <v>788400000</v>
      </c>
      <c r="AF73" s="45">
        <f>TrimmedData!I71</f>
        <v>0.73</v>
      </c>
      <c r="AG73" s="34">
        <f>((TrimmedData!J71-TrimmedData!I71)+(TrimmedData!K71-TrimmedData!J71)+(TrimmedData!L71-TrimmedData!K71)+(TrimmedData!M71-TrimmedData!L71)+(TrimmedData!N71-TrimmedData!M71))/5</f>
        <v>6.0000000000000053E-3</v>
      </c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</row>
    <row r="74" spans="1:118" ht="12" customHeight="1" x14ac:dyDescent="0.2">
      <c r="A74" s="27">
        <v>43896</v>
      </c>
      <c r="B74" s="1" t="s">
        <v>214</v>
      </c>
      <c r="C74" s="1" t="s">
        <v>215</v>
      </c>
      <c r="D74" s="23">
        <v>1989</v>
      </c>
      <c r="E74" s="38">
        <v>1</v>
      </c>
      <c r="F74" s="23">
        <v>5</v>
      </c>
      <c r="G74" s="23">
        <v>5</v>
      </c>
      <c r="H74" s="23" t="s">
        <v>22</v>
      </c>
      <c r="I74" s="23" t="s">
        <v>197</v>
      </c>
      <c r="J74" s="23" t="s">
        <v>208</v>
      </c>
      <c r="K74" s="23">
        <f t="shared" si="10"/>
        <v>26</v>
      </c>
      <c r="L74" s="23">
        <f t="shared" si="11"/>
        <v>4</v>
      </c>
      <c r="M74" s="23">
        <v>1</v>
      </c>
      <c r="N74" s="24">
        <v>2</v>
      </c>
      <c r="O74" s="23">
        <v>0</v>
      </c>
      <c r="P74" s="23"/>
      <c r="Q74" s="23" t="s">
        <v>111</v>
      </c>
      <c r="R74" s="23">
        <f t="shared" si="12"/>
        <v>4</v>
      </c>
      <c r="S74" s="23" t="s">
        <v>11</v>
      </c>
      <c r="T74" s="22" t="s">
        <v>342</v>
      </c>
      <c r="U74" s="23">
        <f t="shared" si="13"/>
        <v>1</v>
      </c>
      <c r="V74" s="22">
        <v>30</v>
      </c>
      <c r="W74" s="23">
        <f t="shared" si="14"/>
        <v>150</v>
      </c>
      <c r="X74" s="23">
        <v>5</v>
      </c>
      <c r="Y74" s="38">
        <f>TrimmedData!I74</f>
        <v>157680000</v>
      </c>
      <c r="Z74" s="22" t="s">
        <v>229</v>
      </c>
      <c r="AA74" s="22">
        <v>1419120000</v>
      </c>
      <c r="AB74" s="23" t="str">
        <f t="shared" si="15"/>
        <v>4</v>
      </c>
      <c r="AC74" s="19">
        <f>AVERAGE(TrimmedData!I74:M74)</f>
        <v>788400000</v>
      </c>
      <c r="AD74" s="23" t="str">
        <f t="shared" si="16"/>
        <v>4</v>
      </c>
      <c r="AE74" s="38">
        <f t="shared" si="17"/>
        <v>1261440000</v>
      </c>
      <c r="AF74" s="41">
        <f>TrimmedData!I75</f>
        <v>0.71</v>
      </c>
      <c r="AG74" s="19">
        <f>((TrimmedData!J75-TrimmedData!I75)+(TrimmedData!K75-TrimmedData!J75)+(TrimmedData!L75-TrimmedData!K75)+(TrimmedData!M75-TrimmedData!L75))/4</f>
        <v>2.250000000000002E-2</v>
      </c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</row>
    <row r="75" spans="1:118" ht="12" customHeight="1" x14ac:dyDescent="0.2">
      <c r="A75" s="27">
        <v>43509</v>
      </c>
      <c r="B75" s="1" t="s">
        <v>74</v>
      </c>
      <c r="C75" s="1" t="s">
        <v>15</v>
      </c>
      <c r="D75" s="23">
        <v>1963</v>
      </c>
      <c r="E75" s="38">
        <v>1</v>
      </c>
      <c r="F75" s="23">
        <v>48</v>
      </c>
      <c r="G75" s="23">
        <v>8</v>
      </c>
      <c r="H75" s="23" t="s">
        <v>32</v>
      </c>
      <c r="I75" s="23" t="s">
        <v>422</v>
      </c>
      <c r="J75" s="23" t="s">
        <v>61</v>
      </c>
      <c r="K75" s="23">
        <f t="shared" si="10"/>
        <v>18</v>
      </c>
      <c r="L75" s="23">
        <f t="shared" si="11"/>
        <v>3</v>
      </c>
      <c r="M75" s="23">
        <v>0</v>
      </c>
      <c r="N75" s="23">
        <v>1</v>
      </c>
      <c r="O75" s="23">
        <v>0</v>
      </c>
      <c r="P75" s="23"/>
      <c r="Q75" s="23" t="s">
        <v>45</v>
      </c>
      <c r="R75" s="23">
        <f t="shared" si="12"/>
        <v>2</v>
      </c>
      <c r="S75" s="23" t="s">
        <v>31</v>
      </c>
      <c r="T75" s="23" t="s">
        <v>163</v>
      </c>
      <c r="U75" s="23">
        <f t="shared" si="13"/>
        <v>0</v>
      </c>
      <c r="V75" s="23">
        <v>8</v>
      </c>
      <c r="W75" s="23">
        <f t="shared" si="14"/>
        <v>384</v>
      </c>
      <c r="X75" s="23">
        <v>5</v>
      </c>
      <c r="Y75" s="38">
        <f>TrimmedData!I76</f>
        <v>120</v>
      </c>
      <c r="Z75" s="23" t="s">
        <v>64</v>
      </c>
      <c r="AA75" s="23">
        <v>604800</v>
      </c>
      <c r="AB75" s="23" t="str">
        <f t="shared" si="15"/>
        <v>3</v>
      </c>
      <c r="AC75" s="19">
        <f>AVERAGE(TrimmedData!I76:M76)</f>
        <v>139044</v>
      </c>
      <c r="AD75" s="23" t="str">
        <f t="shared" si="16"/>
        <v>3</v>
      </c>
      <c r="AE75" s="38">
        <f t="shared" si="17"/>
        <v>604680</v>
      </c>
      <c r="AF75" s="41">
        <f>TrimmedData!I77</f>
        <v>0.08</v>
      </c>
      <c r="AG75" s="19">
        <f>((TrimmedData!J77-TrimmedData!I77)+(TrimmedData!K77-TrimmedData!J77)+(TrimmedData!L77-TrimmedData!K77)+(TrimmedData!M77-TrimmedData!L77))/4</f>
        <v>8.249999999999999E-2</v>
      </c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</row>
    <row r="76" spans="1:118" s="3" customFormat="1" ht="12" customHeight="1" x14ac:dyDescent="0.2">
      <c r="A76" s="27">
        <v>43509</v>
      </c>
      <c r="B76" s="32" t="s">
        <v>113</v>
      </c>
      <c r="C76" s="32" t="s">
        <v>101</v>
      </c>
      <c r="D76" s="31">
        <v>1971</v>
      </c>
      <c r="E76" s="44">
        <v>1</v>
      </c>
      <c r="F76" s="31">
        <v>50</v>
      </c>
      <c r="G76" s="31">
        <v>10</v>
      </c>
      <c r="H76" s="31" t="s">
        <v>22</v>
      </c>
      <c r="I76" s="31" t="s">
        <v>422</v>
      </c>
      <c r="J76" s="31" t="s">
        <v>12</v>
      </c>
      <c r="K76" s="31">
        <f t="shared" si="10"/>
        <v>9</v>
      </c>
      <c r="L76" s="31">
        <f t="shared" si="11"/>
        <v>2</v>
      </c>
      <c r="M76" s="31">
        <v>0</v>
      </c>
      <c r="N76" s="31">
        <v>3</v>
      </c>
      <c r="O76" s="31">
        <v>0</v>
      </c>
      <c r="P76" s="31"/>
      <c r="Q76" s="31" t="s">
        <v>45</v>
      </c>
      <c r="R76" s="31">
        <f t="shared" si="12"/>
        <v>2</v>
      </c>
      <c r="S76" s="31" t="s">
        <v>11</v>
      </c>
      <c r="T76" s="31" t="s">
        <v>163</v>
      </c>
      <c r="U76" s="31">
        <f t="shared" si="13"/>
        <v>0</v>
      </c>
      <c r="V76" s="31">
        <v>8</v>
      </c>
      <c r="W76" s="31">
        <f t="shared" si="14"/>
        <v>400</v>
      </c>
      <c r="X76" s="31">
        <v>5</v>
      </c>
      <c r="Y76" s="44">
        <f>TrimmedData!I80</f>
        <v>300</v>
      </c>
      <c r="Z76" s="31" t="s">
        <v>114</v>
      </c>
      <c r="AA76" s="31">
        <v>2628002.88</v>
      </c>
      <c r="AB76" s="31" t="str">
        <f t="shared" si="15"/>
        <v>4</v>
      </c>
      <c r="AC76" s="34">
        <f>AVERAGE(TrimmedData!I80:M80)</f>
        <v>657420</v>
      </c>
      <c r="AD76" s="31" t="str">
        <f t="shared" si="16"/>
        <v>3</v>
      </c>
      <c r="AE76" s="44">
        <f t="shared" si="17"/>
        <v>2627702.88</v>
      </c>
      <c r="AF76" s="45">
        <f>TrimmedData!I81</f>
        <v>0.19</v>
      </c>
      <c r="AG76" s="34">
        <f>((TrimmedData!J81-TrimmedData!I81)+(TrimmedData!K81-TrimmedData!J81)+(TrimmedData!L81-TrimmedData!K81)+(TrimmedData!M81-TrimmedData!L81))/4</f>
        <v>1.0000000000000002E-2</v>
      </c>
      <c r="DN76" s="4"/>
    </row>
    <row r="77" spans="1:118" s="3" customFormat="1" ht="12" customHeight="1" x14ac:dyDescent="0.2">
      <c r="A77" s="27">
        <v>43896</v>
      </c>
      <c r="B77" s="32" t="s">
        <v>217</v>
      </c>
      <c r="C77" s="32" t="s">
        <v>218</v>
      </c>
      <c r="D77" s="31">
        <v>1993</v>
      </c>
      <c r="E77" s="44">
        <v>1</v>
      </c>
      <c r="F77" s="31">
        <v>5</v>
      </c>
      <c r="G77" s="31">
        <v>5</v>
      </c>
      <c r="H77" s="31" t="s">
        <v>17</v>
      </c>
      <c r="I77" s="31" t="s">
        <v>197</v>
      </c>
      <c r="J77" s="31" t="s">
        <v>208</v>
      </c>
      <c r="K77" s="31">
        <f t="shared" si="10"/>
        <v>26</v>
      </c>
      <c r="L77" s="31">
        <f t="shared" si="11"/>
        <v>4</v>
      </c>
      <c r="M77" s="31">
        <v>1</v>
      </c>
      <c r="N77" s="43">
        <v>2</v>
      </c>
      <c r="O77" s="31">
        <v>0</v>
      </c>
      <c r="P77" s="31"/>
      <c r="Q77" s="31" t="s">
        <v>106</v>
      </c>
      <c r="R77" s="31">
        <f t="shared" si="12"/>
        <v>1</v>
      </c>
      <c r="S77" s="31" t="s">
        <v>31</v>
      </c>
      <c r="T77" s="46" t="s">
        <v>342</v>
      </c>
      <c r="U77" s="31">
        <f t="shared" si="13"/>
        <v>1</v>
      </c>
      <c r="V77" s="46">
        <v>100</v>
      </c>
      <c r="W77" s="31">
        <f t="shared" si="14"/>
        <v>500</v>
      </c>
      <c r="X77" s="31">
        <v>5</v>
      </c>
      <c r="Y77" s="44">
        <f>TrimmedData!I88</f>
        <v>94608000</v>
      </c>
      <c r="Z77" s="46" t="s">
        <v>261</v>
      </c>
      <c r="AA77" s="31">
        <f>43*365*24*60*60</f>
        <v>1356048000</v>
      </c>
      <c r="AB77" s="31" t="str">
        <f t="shared" si="15"/>
        <v>4</v>
      </c>
      <c r="AC77" s="34">
        <f>AVERAGE(TrimmedData!I88:M88)</f>
        <v>719020800</v>
      </c>
      <c r="AD77" s="31" t="str">
        <f t="shared" si="16"/>
        <v>4</v>
      </c>
      <c r="AE77" s="44">
        <f t="shared" si="17"/>
        <v>1261440000</v>
      </c>
      <c r="AF77" s="45">
        <f>TrimmedData!I89</f>
        <v>0.75</v>
      </c>
      <c r="AG77" s="34">
        <f>((TrimmedData!J89-TrimmedData!I89)+(TrimmedData!K89-TrimmedData!J89)+(TrimmedData!L89-TrimmedData!K89)+(TrimmedData!M89-TrimmedData!L89))/4</f>
        <v>4.9999999999999989E-2</v>
      </c>
    </row>
    <row r="78" spans="1:118" s="3" customFormat="1" ht="12" customHeight="1" x14ac:dyDescent="0.2">
      <c r="A78" s="27">
        <v>43897</v>
      </c>
      <c r="B78" s="32" t="s">
        <v>242</v>
      </c>
      <c r="C78" s="32" t="s">
        <v>243</v>
      </c>
      <c r="D78" s="31">
        <v>1988</v>
      </c>
      <c r="E78" s="44">
        <v>1</v>
      </c>
      <c r="F78" s="31">
        <v>37</v>
      </c>
      <c r="G78" s="31">
        <v>37</v>
      </c>
      <c r="H78" s="31" t="s">
        <v>26</v>
      </c>
      <c r="I78" s="31" t="s">
        <v>197</v>
      </c>
      <c r="J78" s="31" t="s">
        <v>244</v>
      </c>
      <c r="K78" s="31">
        <f t="shared" si="10"/>
        <v>36</v>
      </c>
      <c r="L78" s="31">
        <f t="shared" si="11"/>
        <v>5</v>
      </c>
      <c r="M78" s="31">
        <v>1</v>
      </c>
      <c r="N78" s="43">
        <v>2</v>
      </c>
      <c r="O78" s="31">
        <v>0</v>
      </c>
      <c r="P78" s="31"/>
      <c r="Q78" s="31" t="s">
        <v>106</v>
      </c>
      <c r="R78" s="31">
        <f t="shared" si="12"/>
        <v>1</v>
      </c>
      <c r="S78" s="31" t="s">
        <v>31</v>
      </c>
      <c r="T78" s="46" t="s">
        <v>342</v>
      </c>
      <c r="U78" s="31">
        <f t="shared" si="13"/>
        <v>1</v>
      </c>
      <c r="V78" s="46">
        <v>20</v>
      </c>
      <c r="W78" s="31">
        <f t="shared" si="14"/>
        <v>740</v>
      </c>
      <c r="X78" s="31">
        <v>5</v>
      </c>
      <c r="Y78" s="44">
        <f>TrimmedData!I118</f>
        <v>94608000</v>
      </c>
      <c r="Z78" s="46" t="s">
        <v>261</v>
      </c>
      <c r="AA78" s="31">
        <f>43*365*24*60*60</f>
        <v>1356048000</v>
      </c>
      <c r="AB78" s="31" t="str">
        <f t="shared" si="15"/>
        <v>4</v>
      </c>
      <c r="AC78" s="34">
        <f>AVERAGE(TrimmedData!I118:M118)</f>
        <v>725328000</v>
      </c>
      <c r="AD78" s="31" t="str">
        <f t="shared" si="16"/>
        <v>4</v>
      </c>
      <c r="AE78" s="44">
        <f t="shared" si="17"/>
        <v>1261440000</v>
      </c>
      <c r="AF78" s="45">
        <f>TrimmedData!I119</f>
        <v>0.69230769230769229</v>
      </c>
      <c r="AG78" s="34">
        <f>((TrimmedData!J119-TrimmedData!I119)+(TrimmedData!K119-TrimmedData!J119)+(TrimmedData!L119-TrimmedData!K119)+(TrimmedData!M119-TrimmedData!L119))/4</f>
        <v>3.0494505494505497E-2</v>
      </c>
    </row>
    <row r="79" spans="1:118" s="3" customFormat="1" ht="12" customHeight="1" x14ac:dyDescent="0.2">
      <c r="A79" s="27">
        <v>43897</v>
      </c>
      <c r="B79" s="1" t="s">
        <v>245</v>
      </c>
      <c r="C79" s="1" t="s">
        <v>246</v>
      </c>
      <c r="D79" s="23">
        <v>1988</v>
      </c>
      <c r="E79" s="38">
        <v>1</v>
      </c>
      <c r="F79" s="23">
        <v>14</v>
      </c>
      <c r="G79" s="23">
        <v>14</v>
      </c>
      <c r="H79" s="23" t="s">
        <v>32</v>
      </c>
      <c r="I79" s="23" t="s">
        <v>197</v>
      </c>
      <c r="J79" s="23" t="s">
        <v>208</v>
      </c>
      <c r="K79" s="23">
        <f t="shared" si="10"/>
        <v>26</v>
      </c>
      <c r="L79" s="23">
        <f t="shared" si="11"/>
        <v>4</v>
      </c>
      <c r="M79" s="23">
        <v>1</v>
      </c>
      <c r="N79" s="24">
        <v>4</v>
      </c>
      <c r="O79" s="23">
        <v>0</v>
      </c>
      <c r="P79" s="23"/>
      <c r="Q79" s="23" t="s">
        <v>106</v>
      </c>
      <c r="R79" s="23">
        <f t="shared" si="12"/>
        <v>1</v>
      </c>
      <c r="S79" s="23" t="s">
        <v>31</v>
      </c>
      <c r="T79" s="22" t="s">
        <v>342</v>
      </c>
      <c r="U79" s="23">
        <f t="shared" si="13"/>
        <v>1</v>
      </c>
      <c r="V79" s="22">
        <v>68</v>
      </c>
      <c r="W79" s="23">
        <f t="shared" si="14"/>
        <v>952</v>
      </c>
      <c r="X79" s="23">
        <v>5</v>
      </c>
      <c r="Y79" s="38">
        <f>TrimmedData!I120</f>
        <v>94608000</v>
      </c>
      <c r="Z79" s="23" t="s">
        <v>261</v>
      </c>
      <c r="AA79" s="23">
        <f>43*365*24*60*60</f>
        <v>1356048000</v>
      </c>
      <c r="AB79" s="23" t="str">
        <f t="shared" si="15"/>
        <v>4</v>
      </c>
      <c r="AC79" s="19">
        <f>AVERAGE(TrimmedData!I120:BN120)</f>
        <v>725328000</v>
      </c>
      <c r="AD79" s="23" t="str">
        <f t="shared" si="16"/>
        <v>4</v>
      </c>
      <c r="AE79" s="38">
        <f t="shared" si="17"/>
        <v>1261440000</v>
      </c>
      <c r="AF79" s="41">
        <f>TrimmedData!I121</f>
        <v>0.72</v>
      </c>
      <c r="AG79" s="19">
        <f>((TrimmedData!J121-TrimmedData!I121)+(TrimmedData!K121-TrimmedData!J121)+(TrimmedData!L121-TrimmedData!K121)+(TrimmedData!M121-TrimmedData!L121))/4</f>
        <v>5.0000000000000044E-3</v>
      </c>
    </row>
    <row r="80" spans="1:118" s="3" customFormat="1" ht="12" customHeight="1" x14ac:dyDescent="0.25">
      <c r="A80" s="27">
        <v>43897</v>
      </c>
      <c r="B80" s="5" t="s">
        <v>247</v>
      </c>
      <c r="C80" s="5" t="s">
        <v>81</v>
      </c>
      <c r="D80" s="22">
        <v>1982</v>
      </c>
      <c r="E80" s="38">
        <v>1</v>
      </c>
      <c r="F80" s="23">
        <v>16</v>
      </c>
      <c r="G80" s="23">
        <v>16</v>
      </c>
      <c r="H80" s="22" t="s">
        <v>272</v>
      </c>
      <c r="I80" s="23" t="s">
        <v>197</v>
      </c>
      <c r="J80" s="23" t="s">
        <v>208</v>
      </c>
      <c r="K80" s="23">
        <f t="shared" si="10"/>
        <v>26</v>
      </c>
      <c r="L80" s="23">
        <f t="shared" si="11"/>
        <v>4</v>
      </c>
      <c r="M80" s="23">
        <v>1</v>
      </c>
      <c r="N80" s="24">
        <v>2</v>
      </c>
      <c r="O80" s="23">
        <v>0</v>
      </c>
      <c r="P80" s="23"/>
      <c r="Q80" s="23" t="s">
        <v>23</v>
      </c>
      <c r="R80" s="23">
        <f t="shared" si="12"/>
        <v>3</v>
      </c>
      <c r="S80" s="23" t="s">
        <v>11</v>
      </c>
      <c r="T80" s="22" t="s">
        <v>342</v>
      </c>
      <c r="U80" s="23">
        <f t="shared" si="13"/>
        <v>1</v>
      </c>
      <c r="V80" s="22">
        <v>132</v>
      </c>
      <c r="W80" s="23">
        <f t="shared" si="14"/>
        <v>2112</v>
      </c>
      <c r="X80" s="23">
        <v>5</v>
      </c>
      <c r="Y80" s="38">
        <f>TrimmedData!I122</f>
        <v>157680000</v>
      </c>
      <c r="Z80" s="23" t="s">
        <v>196</v>
      </c>
      <c r="AA80" s="23">
        <f>40*365*24*60*60</f>
        <v>1261440000</v>
      </c>
      <c r="AB80" s="23" t="str">
        <f t="shared" si="15"/>
        <v>4</v>
      </c>
      <c r="AC80" s="19">
        <f>AVERAGE(TrimmedData!I122:M122)</f>
        <v>788400000</v>
      </c>
      <c r="AD80" s="23" t="str">
        <f t="shared" si="16"/>
        <v>4</v>
      </c>
      <c r="AE80" s="38">
        <f t="shared" si="17"/>
        <v>1103760000</v>
      </c>
      <c r="AF80" s="41">
        <f>TrimmedData!I123</f>
        <v>0.64</v>
      </c>
      <c r="AG80" s="19">
        <f>((TrimmedData!J123-TrimmedData!I123)+(TrimmedData!K123-TrimmedData!J123)+(TrimmedData!L123-TrimmedData!K123)+(TrimmedData!M123-TrimmedData!L123))/4</f>
        <v>1.0000000000000009E-2</v>
      </c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</row>
    <row r="81" spans="1:118" s="3" customFormat="1" ht="12" customHeight="1" x14ac:dyDescent="0.25">
      <c r="A81" s="27">
        <v>43897</v>
      </c>
      <c r="B81" s="48" t="s">
        <v>248</v>
      </c>
      <c r="C81" s="48" t="s">
        <v>240</v>
      </c>
      <c r="D81" s="46">
        <v>1989</v>
      </c>
      <c r="E81" s="44">
        <v>1</v>
      </c>
      <c r="F81" s="31">
        <v>8</v>
      </c>
      <c r="G81" s="31">
        <v>8</v>
      </c>
      <c r="H81" s="46" t="s">
        <v>32</v>
      </c>
      <c r="I81" s="31" t="s">
        <v>197</v>
      </c>
      <c r="J81" s="31" t="s">
        <v>208</v>
      </c>
      <c r="K81" s="31">
        <f t="shared" si="10"/>
        <v>26</v>
      </c>
      <c r="L81" s="31">
        <f t="shared" si="11"/>
        <v>4</v>
      </c>
      <c r="M81" s="31">
        <v>1</v>
      </c>
      <c r="N81" s="43">
        <v>2</v>
      </c>
      <c r="O81" s="31">
        <v>0</v>
      </c>
      <c r="P81" s="31"/>
      <c r="Q81" s="31" t="s">
        <v>106</v>
      </c>
      <c r="R81" s="31">
        <f t="shared" si="12"/>
        <v>1</v>
      </c>
      <c r="S81" s="31" t="s">
        <v>31</v>
      </c>
      <c r="T81" s="46" t="s">
        <v>342</v>
      </c>
      <c r="U81" s="31">
        <f t="shared" si="13"/>
        <v>1</v>
      </c>
      <c r="V81" s="46">
        <v>117</v>
      </c>
      <c r="W81" s="31">
        <f t="shared" si="14"/>
        <v>936</v>
      </c>
      <c r="X81" s="31">
        <v>5</v>
      </c>
      <c r="Y81" s="44">
        <f>TrimmedData!I124</f>
        <v>94608000</v>
      </c>
      <c r="Z81" s="31" t="s">
        <v>261</v>
      </c>
      <c r="AA81" s="31">
        <f>43*365*24*60*60</f>
        <v>1356048000</v>
      </c>
      <c r="AB81" s="31" t="str">
        <f t="shared" si="15"/>
        <v>4</v>
      </c>
      <c r="AC81" s="34">
        <f>AVERAGE(TrimmedData!I124:M124)</f>
        <v>719020800</v>
      </c>
      <c r="AD81" s="31" t="str">
        <f t="shared" si="16"/>
        <v>4</v>
      </c>
      <c r="AE81" s="44">
        <f t="shared" si="17"/>
        <v>1261440000</v>
      </c>
      <c r="AF81" s="45">
        <f>TrimmedData!I125</f>
        <v>0.5</v>
      </c>
      <c r="AG81" s="34">
        <f>((TrimmedData!J125-TrimmedData!I125)+(TrimmedData!K125-TrimmedData!J125)+(TrimmedData!L125-TrimmedData!K125)+(TrimmedData!M125-TrimmedData!L125))/4</f>
        <v>1.4204545454545442E-2</v>
      </c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</row>
    <row r="82" spans="1:118" s="3" customFormat="1" ht="12" customHeight="1" x14ac:dyDescent="0.2">
      <c r="A82" s="27">
        <v>43897</v>
      </c>
      <c r="B82" s="54" t="s">
        <v>249</v>
      </c>
      <c r="C82" s="54" t="s">
        <v>81</v>
      </c>
      <c r="D82" s="61">
        <v>1990</v>
      </c>
      <c r="E82" s="44">
        <v>2</v>
      </c>
      <c r="F82" s="31">
        <v>8</v>
      </c>
      <c r="G82" s="31">
        <v>8</v>
      </c>
      <c r="H82" s="31" t="s">
        <v>250</v>
      </c>
      <c r="I82" s="31" t="s">
        <v>197</v>
      </c>
      <c r="J82" s="31" t="s">
        <v>223</v>
      </c>
      <c r="K82" s="31">
        <f t="shared" si="10"/>
        <v>27</v>
      </c>
      <c r="L82" s="31">
        <f t="shared" si="11"/>
        <v>4</v>
      </c>
      <c r="M82" s="31">
        <v>1</v>
      </c>
      <c r="N82" s="43">
        <v>2</v>
      </c>
      <c r="O82" s="31">
        <v>0</v>
      </c>
      <c r="P82" s="31"/>
      <c r="Q82" s="31" t="s">
        <v>111</v>
      </c>
      <c r="R82" s="31">
        <f t="shared" si="12"/>
        <v>4</v>
      </c>
      <c r="S82" s="31" t="s">
        <v>11</v>
      </c>
      <c r="T82" s="46" t="s">
        <v>342</v>
      </c>
      <c r="U82" s="31">
        <f t="shared" si="13"/>
        <v>1</v>
      </c>
      <c r="V82" s="46">
        <v>120</v>
      </c>
      <c r="W82" s="31">
        <f t="shared" si="14"/>
        <v>960</v>
      </c>
      <c r="X82" s="31">
        <v>5</v>
      </c>
      <c r="Y82" s="44">
        <f>TrimmedData!I126</f>
        <v>157680000</v>
      </c>
      <c r="Z82" s="46" t="s">
        <v>229</v>
      </c>
      <c r="AA82" s="31">
        <f>45*365*24*60*60</f>
        <v>1419120000</v>
      </c>
      <c r="AB82" s="31" t="str">
        <f t="shared" si="15"/>
        <v>4</v>
      </c>
      <c r="AC82" s="34">
        <f>AVERAGE(TrimmedData!I126:M126)</f>
        <v>788400000</v>
      </c>
      <c r="AD82" s="31" t="str">
        <f t="shared" si="16"/>
        <v>4</v>
      </c>
      <c r="AE82" s="44">
        <f t="shared" si="17"/>
        <v>1261440000</v>
      </c>
      <c r="AF82" s="45">
        <f>TrimmedData!I127</f>
        <v>1</v>
      </c>
      <c r="AG82" s="34">
        <f>((TrimmedData!J127-TrimmedData!I127)+(TrimmedData!K127-TrimmedData!J127)+(TrimmedData!L127-TrimmedData!K127)+(TrimmedData!M127-TrimmedData!L127))/4</f>
        <v>0</v>
      </c>
    </row>
    <row r="83" spans="1:118" ht="12" customHeight="1" x14ac:dyDescent="0.2">
      <c r="A83" s="27">
        <v>43897</v>
      </c>
      <c r="B83" s="54" t="s">
        <v>249</v>
      </c>
      <c r="C83" s="54" t="s">
        <v>81</v>
      </c>
      <c r="D83" s="61">
        <v>1990</v>
      </c>
      <c r="E83" s="44">
        <v>2</v>
      </c>
      <c r="F83" s="31">
        <v>8</v>
      </c>
      <c r="G83" s="31">
        <v>8</v>
      </c>
      <c r="H83" s="31" t="s">
        <v>250</v>
      </c>
      <c r="I83" s="31" t="s">
        <v>197</v>
      </c>
      <c r="J83" s="31" t="s">
        <v>223</v>
      </c>
      <c r="K83" s="31">
        <f t="shared" si="10"/>
        <v>27</v>
      </c>
      <c r="L83" s="31">
        <f t="shared" si="11"/>
        <v>4</v>
      </c>
      <c r="M83" s="31">
        <v>1</v>
      </c>
      <c r="N83" s="43">
        <v>2</v>
      </c>
      <c r="O83" s="31">
        <v>0</v>
      </c>
      <c r="P83" s="31"/>
      <c r="Q83" s="31" t="s">
        <v>45</v>
      </c>
      <c r="R83" s="31">
        <f t="shared" si="12"/>
        <v>2</v>
      </c>
      <c r="S83" s="31" t="s">
        <v>11</v>
      </c>
      <c r="T83" s="46" t="s">
        <v>342</v>
      </c>
      <c r="U83" s="31">
        <f t="shared" si="13"/>
        <v>1</v>
      </c>
      <c r="V83" s="46">
        <v>120</v>
      </c>
      <c r="W83" s="31">
        <f t="shared" si="14"/>
        <v>960</v>
      </c>
      <c r="X83" s="31">
        <v>5</v>
      </c>
      <c r="Y83" s="44">
        <f>TrimmedData!I128</f>
        <v>157680000</v>
      </c>
      <c r="Z83" s="46" t="s">
        <v>229</v>
      </c>
      <c r="AA83" s="31">
        <f>45*365*24*60*60</f>
        <v>1419120000</v>
      </c>
      <c r="AB83" s="31" t="str">
        <f t="shared" si="15"/>
        <v>4</v>
      </c>
      <c r="AC83" s="34">
        <f>AVERAGE(TrimmedData!I128:M128)</f>
        <v>788400000</v>
      </c>
      <c r="AD83" s="31" t="str">
        <f t="shared" si="16"/>
        <v>4</v>
      </c>
      <c r="AE83" s="44">
        <f t="shared" si="17"/>
        <v>1261440000</v>
      </c>
      <c r="AF83" s="45">
        <f>TrimmedData!I129</f>
        <v>0.85106382978723416</v>
      </c>
      <c r="AG83" s="34">
        <f>((TrimmedData!J129-TrimmedData!I129)+(TrimmedData!K129-TrimmedData!J129)+(TrimmedData!L129-TrimmedData!K129)+(TrimmedData!M129-TrimmedData!L129))/4</f>
        <v>1.4506769825918753E-2</v>
      </c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</row>
    <row r="84" spans="1:118" ht="12" customHeight="1" x14ac:dyDescent="0.2">
      <c r="A84" s="27">
        <v>43897</v>
      </c>
      <c r="B84" s="11" t="s">
        <v>251</v>
      </c>
      <c r="C84" s="11" t="s">
        <v>246</v>
      </c>
      <c r="D84" s="28">
        <v>1988</v>
      </c>
      <c r="E84" s="37">
        <v>1</v>
      </c>
      <c r="F84" s="23">
        <v>3</v>
      </c>
      <c r="G84" s="23">
        <v>3</v>
      </c>
      <c r="H84" s="23" t="s">
        <v>207</v>
      </c>
      <c r="I84" s="23" t="s">
        <v>197</v>
      </c>
      <c r="J84" s="23" t="s">
        <v>206</v>
      </c>
      <c r="K84" s="23">
        <f t="shared" si="10"/>
        <v>46</v>
      </c>
      <c r="L84" s="23">
        <f t="shared" si="11"/>
        <v>7</v>
      </c>
      <c r="M84" s="23">
        <v>1</v>
      </c>
      <c r="N84" s="24">
        <v>4</v>
      </c>
      <c r="O84" s="23">
        <v>0</v>
      </c>
      <c r="P84" s="23"/>
      <c r="Q84" s="23" t="s">
        <v>106</v>
      </c>
      <c r="R84" s="23">
        <f t="shared" si="12"/>
        <v>1</v>
      </c>
      <c r="S84" s="23" t="s">
        <v>11</v>
      </c>
      <c r="T84" s="22" t="s">
        <v>342</v>
      </c>
      <c r="U84" s="23">
        <f t="shared" si="13"/>
        <v>1</v>
      </c>
      <c r="V84" s="22">
        <v>50</v>
      </c>
      <c r="W84" s="23">
        <f t="shared" si="14"/>
        <v>150</v>
      </c>
      <c r="X84" s="23">
        <v>5</v>
      </c>
      <c r="Y84" s="38">
        <f>TrimmedData!I130</f>
        <v>315360000</v>
      </c>
      <c r="Z84" s="23" t="s">
        <v>130</v>
      </c>
      <c r="AA84" s="23">
        <f>50*365*24*60*60</f>
        <v>1576800000</v>
      </c>
      <c r="AB84" s="23" t="str">
        <f t="shared" si="15"/>
        <v>4</v>
      </c>
      <c r="AC84" s="19">
        <f>AVERAGE(TrimmedData!I130:M130)</f>
        <v>3156672000</v>
      </c>
      <c r="AD84" s="23" t="str">
        <f t="shared" si="16"/>
        <v>4</v>
      </c>
      <c r="AE84" s="38">
        <f t="shared" si="17"/>
        <v>1261440000</v>
      </c>
      <c r="AF84" s="41">
        <f>TrimmedData!I131</f>
        <v>0.3</v>
      </c>
      <c r="AG84" s="19">
        <f>((TrimmedData!J131-TrimmedData!I131)+(TrimmedData!K131-TrimmedData!J131)+(TrimmedData!L131-TrimmedData!K131)+(TrimmedData!M131-TrimmedData!L131))/4</f>
        <v>1.0000000000000009E-2</v>
      </c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</row>
    <row r="85" spans="1:118" ht="12" customHeight="1" x14ac:dyDescent="0.2">
      <c r="A85" s="27">
        <v>43897</v>
      </c>
      <c r="B85" s="11" t="s">
        <v>251</v>
      </c>
      <c r="C85" s="11" t="s">
        <v>246</v>
      </c>
      <c r="D85" s="28">
        <v>1988</v>
      </c>
      <c r="E85" s="37">
        <v>1</v>
      </c>
      <c r="F85" s="23">
        <v>3</v>
      </c>
      <c r="G85" s="23">
        <v>3</v>
      </c>
      <c r="H85" s="23" t="s">
        <v>207</v>
      </c>
      <c r="I85" s="23" t="s">
        <v>197</v>
      </c>
      <c r="J85" s="23" t="s">
        <v>206</v>
      </c>
      <c r="K85" s="23">
        <f t="shared" si="10"/>
        <v>46</v>
      </c>
      <c r="L85" s="23">
        <f t="shared" si="11"/>
        <v>7</v>
      </c>
      <c r="M85" s="23">
        <v>1</v>
      </c>
      <c r="N85" s="24">
        <v>4</v>
      </c>
      <c r="O85" s="23">
        <v>0</v>
      </c>
      <c r="P85" s="23"/>
      <c r="Q85" s="23" t="s">
        <v>111</v>
      </c>
      <c r="R85" s="23">
        <f t="shared" si="12"/>
        <v>4</v>
      </c>
      <c r="S85" s="23" t="s">
        <v>11</v>
      </c>
      <c r="T85" s="22" t="s">
        <v>342</v>
      </c>
      <c r="U85" s="23">
        <f t="shared" si="13"/>
        <v>1</v>
      </c>
      <c r="V85" s="22">
        <v>50</v>
      </c>
      <c r="W85" s="23">
        <f t="shared" si="14"/>
        <v>150</v>
      </c>
      <c r="X85" s="23">
        <v>5</v>
      </c>
      <c r="Y85" s="38">
        <f>TrimmedData!I132</f>
        <v>315360000</v>
      </c>
      <c r="Z85" s="23" t="s">
        <v>130</v>
      </c>
      <c r="AA85" s="23">
        <f>50*365*24*60*60</f>
        <v>1576800000</v>
      </c>
      <c r="AB85" s="23" t="str">
        <f t="shared" si="15"/>
        <v>4</v>
      </c>
      <c r="AC85" s="19">
        <f>AVERAGE(TrimmedData!I132:M132)</f>
        <v>3156672000</v>
      </c>
      <c r="AD85" s="23" t="str">
        <f t="shared" si="16"/>
        <v>4</v>
      </c>
      <c r="AE85" s="38">
        <f t="shared" si="17"/>
        <v>1261440000</v>
      </c>
      <c r="AF85" s="41">
        <f>TrimmedData!I133</f>
        <v>0.60606060606060608</v>
      </c>
      <c r="AG85" s="19">
        <f>((TrimmedData!J133-TrimmedData!I133)+(TrimmedData!K133-TrimmedData!J133)+(TrimmedData!L133-TrimmedData!K133)+(TrimmedData!M133-TrimmedData!L133))/4</f>
        <v>2.6515151515151492E-2</v>
      </c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</row>
    <row r="86" spans="1:118" s="3" customFormat="1" ht="12" customHeight="1" x14ac:dyDescent="0.2">
      <c r="A86" s="27">
        <v>43903</v>
      </c>
      <c r="B86" s="1" t="s">
        <v>300</v>
      </c>
      <c r="C86" s="1" t="s">
        <v>215</v>
      </c>
      <c r="D86" s="23">
        <v>1981</v>
      </c>
      <c r="E86" s="38">
        <v>1</v>
      </c>
      <c r="F86" s="23">
        <v>24</v>
      </c>
      <c r="G86" s="23">
        <v>24</v>
      </c>
      <c r="H86" s="23" t="s">
        <v>32</v>
      </c>
      <c r="I86" s="23" t="s">
        <v>197</v>
      </c>
      <c r="J86" s="23" t="s">
        <v>208</v>
      </c>
      <c r="K86" s="23">
        <f t="shared" si="10"/>
        <v>26</v>
      </c>
      <c r="L86" s="23">
        <f t="shared" si="11"/>
        <v>4</v>
      </c>
      <c r="M86" s="23">
        <v>1</v>
      </c>
      <c r="N86" s="24">
        <v>2</v>
      </c>
      <c r="O86" s="23">
        <v>0</v>
      </c>
      <c r="P86" s="23"/>
      <c r="Q86" s="23" t="s">
        <v>106</v>
      </c>
      <c r="R86" s="23">
        <f t="shared" si="12"/>
        <v>1</v>
      </c>
      <c r="S86" s="23" t="s">
        <v>31</v>
      </c>
      <c r="T86" s="22" t="s">
        <v>342</v>
      </c>
      <c r="U86" s="23">
        <f t="shared" si="13"/>
        <v>1</v>
      </c>
      <c r="V86" s="22">
        <v>180</v>
      </c>
      <c r="W86" s="23">
        <f t="shared" si="14"/>
        <v>4320</v>
      </c>
      <c r="X86" s="23">
        <v>5</v>
      </c>
      <c r="Y86" s="38">
        <f>TrimmedData!I164</f>
        <v>157680000</v>
      </c>
      <c r="Z86" s="23" t="s">
        <v>229</v>
      </c>
      <c r="AA86" s="38">
        <f>60*60*24*365*45</f>
        <v>1419120000</v>
      </c>
      <c r="AB86" s="23" t="str">
        <f t="shared" si="15"/>
        <v>4</v>
      </c>
      <c r="AC86" s="19">
        <f>AVERAGE(TrimmedData!I164:M164)</f>
        <v>788400000</v>
      </c>
      <c r="AD86" s="23" t="str">
        <f t="shared" si="16"/>
        <v>4</v>
      </c>
      <c r="AE86" s="38">
        <f t="shared" si="17"/>
        <v>1261440000</v>
      </c>
      <c r="AF86" s="41">
        <f>TrimmedData!I165</f>
        <v>0.48974110917159103</v>
      </c>
      <c r="AG86" s="19">
        <f>((TrimmedData!J165-TrimmedData!I165)+(TrimmedData!K165-TrimmedData!J165)+(TrimmedData!L165-TrimmedData!K165)+(TrimmedData!M165-TrimmedData!L165))/4</f>
        <v>5.2556310332500106E-3</v>
      </c>
    </row>
    <row r="87" spans="1:118" s="3" customFormat="1" ht="12" customHeight="1" x14ac:dyDescent="0.2">
      <c r="A87" s="27">
        <v>43903</v>
      </c>
      <c r="B87" s="1" t="s">
        <v>300</v>
      </c>
      <c r="C87" s="1" t="s">
        <v>215</v>
      </c>
      <c r="D87" s="23">
        <v>1981</v>
      </c>
      <c r="E87" s="38">
        <v>1</v>
      </c>
      <c r="F87" s="23">
        <v>24</v>
      </c>
      <c r="G87" s="23">
        <v>24</v>
      </c>
      <c r="H87" s="23" t="s">
        <v>32</v>
      </c>
      <c r="I87" s="23" t="s">
        <v>197</v>
      </c>
      <c r="J87" s="23" t="s">
        <v>202</v>
      </c>
      <c r="K87" s="23">
        <f t="shared" si="10"/>
        <v>39</v>
      </c>
      <c r="L87" s="23">
        <f t="shared" si="11"/>
        <v>6</v>
      </c>
      <c r="M87" s="23">
        <v>1</v>
      </c>
      <c r="N87" s="24">
        <v>2</v>
      </c>
      <c r="O87" s="23">
        <v>0</v>
      </c>
      <c r="P87" s="23"/>
      <c r="Q87" s="23" t="s">
        <v>106</v>
      </c>
      <c r="R87" s="23">
        <f t="shared" si="12"/>
        <v>1</v>
      </c>
      <c r="S87" s="23" t="s">
        <v>11</v>
      </c>
      <c r="T87" s="22" t="s">
        <v>342</v>
      </c>
      <c r="U87" s="23">
        <f t="shared" si="13"/>
        <v>1</v>
      </c>
      <c r="V87" s="22">
        <v>180</v>
      </c>
      <c r="W87" s="23">
        <f t="shared" si="14"/>
        <v>4320</v>
      </c>
      <c r="X87" s="23">
        <v>5</v>
      </c>
      <c r="Y87" s="38">
        <f>TrimmedData!I166</f>
        <v>157680000</v>
      </c>
      <c r="Z87" s="23" t="s">
        <v>229</v>
      </c>
      <c r="AA87" s="38">
        <f>60*60*24*365*45</f>
        <v>1419120000</v>
      </c>
      <c r="AB87" s="23" t="str">
        <f t="shared" si="15"/>
        <v>4</v>
      </c>
      <c r="AC87" s="19">
        <f>AVERAGE(TrimmedData!I166:M166)</f>
        <v>788400000</v>
      </c>
      <c r="AD87" s="23" t="str">
        <f t="shared" si="16"/>
        <v>4</v>
      </c>
      <c r="AE87" s="38">
        <f t="shared" si="17"/>
        <v>1261440000</v>
      </c>
      <c r="AF87" s="41">
        <f>TrimmedData!I167</f>
        <v>0.34776546299606698</v>
      </c>
      <c r="AG87" s="19">
        <f>((TrimmedData!J167-TrimmedData!I167)+(TrimmedData!K167-TrimmedData!J167)+(TrimmedData!L167-TrimmedData!K167)+(TrimmedData!M167-TrimmedData!L167))/4</f>
        <v>1.1171633472838505E-2</v>
      </c>
    </row>
    <row r="88" spans="1:118" ht="12" customHeight="1" x14ac:dyDescent="0.25">
      <c r="K88" s="23"/>
      <c r="L88" s="23"/>
      <c r="W88" s="23"/>
      <c r="AE88" s="38"/>
    </row>
    <row r="90" spans="1:118" ht="12" customHeight="1" x14ac:dyDescent="0.25">
      <c r="K90" s="23"/>
      <c r="L90" s="23"/>
    </row>
  </sheetData>
  <conditionalFormatting sqref="O8:P10 O4:P5">
    <cfRule type="expression" dxfId="15" priority="1">
      <formula>MOD(ROW(),2)=1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181"/>
  <sheetViews>
    <sheetView topLeftCell="A164" workbookViewId="0">
      <selection activeCell="O137" sqref="O137"/>
    </sheetView>
  </sheetViews>
  <sheetFormatPr defaultRowHeight="15" outlineLevelCol="1" x14ac:dyDescent="0.25"/>
  <cols>
    <col min="1" max="1" width="13.85546875" style="24" bestFit="1" customWidth="1"/>
    <col min="2" max="2" width="21.42578125" style="4" customWidth="1"/>
    <col min="3" max="3" width="13.85546875" style="4" customWidth="1"/>
    <col min="4" max="4" width="12" style="26" bestFit="1" customWidth="1"/>
    <col min="5" max="5" width="4.85546875" style="39" customWidth="1"/>
    <col min="6" max="6" width="14.85546875" style="26" customWidth="1"/>
    <col min="7" max="7" width="30.5703125" style="26" customWidth="1"/>
    <col min="8" max="8" width="17.28515625" style="26" customWidth="1"/>
    <col min="9" max="9" width="13.5703125" style="15" bestFit="1" customWidth="1" outlineLevel="1"/>
    <col min="10" max="10" width="11.28515625" style="15" bestFit="1" customWidth="1" outlineLevel="1"/>
    <col min="11" max="11" width="12.42578125" style="15" bestFit="1" customWidth="1" outlineLevel="1"/>
    <col min="12" max="12" width="13.140625" style="15" customWidth="1" outlineLevel="1"/>
    <col min="13" max="13" width="13.140625" style="15" customWidth="1"/>
    <col min="14" max="14" width="12" style="15" customWidth="1"/>
    <col min="15" max="15" width="13.28515625" style="15" customWidth="1"/>
    <col min="16" max="16" width="12.42578125" style="10" bestFit="1" customWidth="1"/>
    <col min="17" max="17" width="12.7109375" style="10" customWidth="1"/>
    <col min="18" max="18" width="12.42578125" style="10" bestFit="1" customWidth="1"/>
    <col min="19" max="19" width="11.85546875" style="10" customWidth="1"/>
    <col min="20" max="21" width="11.28515625" style="10" bestFit="1" customWidth="1"/>
    <col min="22" max="22" width="11.85546875" style="10" bestFit="1" customWidth="1"/>
    <col min="23" max="23" width="11.28515625" style="10" bestFit="1" customWidth="1"/>
    <col min="24" max="32" width="9" style="10" bestFit="1" customWidth="1"/>
    <col min="33" max="35" width="10.5703125" style="10" bestFit="1" customWidth="1"/>
    <col min="36" max="56" width="11.5703125" style="10" bestFit="1" customWidth="1"/>
    <col min="57" max="60" width="12.5703125" style="4" bestFit="1" customWidth="1"/>
    <col min="61" max="73" width="10.42578125" style="4" bestFit="1" customWidth="1"/>
  </cols>
  <sheetData>
    <row r="1" spans="1:73" x14ac:dyDescent="0.25">
      <c r="A1" s="71" t="s">
        <v>184</v>
      </c>
      <c r="B1" s="72" t="s">
        <v>0</v>
      </c>
      <c r="C1" s="72" t="s">
        <v>1</v>
      </c>
      <c r="D1" s="73" t="s">
        <v>2</v>
      </c>
      <c r="E1" s="74" t="s">
        <v>341</v>
      </c>
      <c r="F1" s="73" t="s">
        <v>1</v>
      </c>
      <c r="G1" s="73" t="s">
        <v>8</v>
      </c>
      <c r="H1" s="73" t="s">
        <v>7</v>
      </c>
      <c r="I1" s="77" t="s">
        <v>179</v>
      </c>
      <c r="J1" s="77"/>
      <c r="K1" s="77"/>
      <c r="L1" s="77"/>
      <c r="M1" s="77"/>
      <c r="N1" s="77"/>
      <c r="O1" s="77"/>
      <c r="P1" s="78"/>
      <c r="Q1" s="78"/>
      <c r="R1" s="78"/>
      <c r="S1" s="78"/>
      <c r="T1" s="78"/>
      <c r="U1" s="78"/>
      <c r="V1" s="78"/>
      <c r="W1" s="78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2"/>
      <c r="BF1" s="72"/>
      <c r="BG1" s="72"/>
      <c r="BH1" s="72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</row>
    <row r="2" spans="1:73" x14ac:dyDescent="0.25">
      <c r="A2" s="27">
        <v>43895</v>
      </c>
      <c r="B2" s="1"/>
      <c r="C2" s="1"/>
      <c r="D2" s="23"/>
      <c r="E2" s="38"/>
      <c r="F2" s="23"/>
      <c r="G2" s="23"/>
      <c r="H2" s="23"/>
      <c r="I2" s="12">
        <v>157680000</v>
      </c>
      <c r="J2" s="12">
        <v>473040000</v>
      </c>
      <c r="K2" s="12">
        <v>788400000</v>
      </c>
      <c r="L2" s="12">
        <v>1103760000</v>
      </c>
      <c r="M2" s="12">
        <v>1419120000</v>
      </c>
      <c r="N2" s="18"/>
      <c r="O2" s="18" t="s">
        <v>307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"/>
      <c r="BF2" s="1"/>
      <c r="BG2" s="1"/>
      <c r="BH2" s="1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x14ac:dyDescent="0.25">
      <c r="A3" s="27">
        <v>43895</v>
      </c>
      <c r="B3" s="5" t="s">
        <v>328</v>
      </c>
      <c r="C3" s="5" t="s">
        <v>329</v>
      </c>
      <c r="D3" s="22">
        <v>1981</v>
      </c>
      <c r="E3" s="38">
        <v>1</v>
      </c>
      <c r="F3" s="23" t="s">
        <v>32</v>
      </c>
      <c r="G3" s="22" t="s">
        <v>197</v>
      </c>
      <c r="H3" s="22" t="s">
        <v>208</v>
      </c>
      <c r="I3" s="18">
        <v>0.62264150943396224</v>
      </c>
      <c r="J3" s="18">
        <v>0.59523809523809523</v>
      </c>
      <c r="K3" s="18">
        <v>0.56756756756756754</v>
      </c>
      <c r="L3" s="18">
        <v>0.70212765957446821</v>
      </c>
      <c r="M3" s="18">
        <v>0.70212765957446821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"/>
      <c r="BF3" s="1"/>
      <c r="BG3" s="1"/>
      <c r="BH3" s="1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x14ac:dyDescent="0.25">
      <c r="A4" s="27">
        <v>43895</v>
      </c>
      <c r="B4" s="1"/>
      <c r="C4" s="1"/>
      <c r="D4" s="23"/>
      <c r="E4" s="38"/>
      <c r="F4" s="23"/>
      <c r="G4" s="23"/>
      <c r="H4" s="23"/>
      <c r="I4" s="12">
        <v>157680000</v>
      </c>
      <c r="J4" s="12">
        <v>473040000</v>
      </c>
      <c r="K4" s="12">
        <v>788400000</v>
      </c>
      <c r="L4" s="12">
        <v>1103760000</v>
      </c>
      <c r="M4" s="12">
        <v>1419120000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"/>
      <c r="BF4" s="1"/>
      <c r="BG4" s="1"/>
      <c r="BH4" s="1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x14ac:dyDescent="0.25">
      <c r="A5" s="27">
        <v>43895</v>
      </c>
      <c r="B5" s="5" t="s">
        <v>328</v>
      </c>
      <c r="C5" s="5" t="s">
        <v>329</v>
      </c>
      <c r="D5" s="22">
        <v>1981</v>
      </c>
      <c r="E5" s="38">
        <v>1</v>
      </c>
      <c r="F5" s="23" t="s">
        <v>25</v>
      </c>
      <c r="G5" s="22" t="s">
        <v>197</v>
      </c>
      <c r="H5" s="22" t="s">
        <v>206</v>
      </c>
      <c r="I5" s="18">
        <v>0.60465116279069775</v>
      </c>
      <c r="J5" s="18">
        <v>0.70588235294117641</v>
      </c>
      <c r="K5" s="18">
        <v>0.61904761904761907</v>
      </c>
      <c r="L5" s="18">
        <v>0.73076923076923073</v>
      </c>
      <c r="M5" s="18">
        <v>0.68571428571428572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"/>
      <c r="BF5" s="1"/>
      <c r="BG5" s="1"/>
      <c r="BH5" s="1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98" customFormat="1" x14ac:dyDescent="0.25">
      <c r="A6" s="91">
        <v>43900</v>
      </c>
      <c r="B6" s="92"/>
      <c r="C6" s="92"/>
      <c r="D6" s="66"/>
      <c r="E6" s="93"/>
      <c r="F6" s="66"/>
      <c r="G6" s="66"/>
      <c r="H6" s="66"/>
      <c r="I6" s="94">
        <v>157680000</v>
      </c>
      <c r="J6" s="94">
        <v>473040000</v>
      </c>
      <c r="K6" s="94">
        <v>788400000</v>
      </c>
      <c r="L6" s="94">
        <v>1103760000</v>
      </c>
      <c r="M6" s="94">
        <v>1419120000</v>
      </c>
      <c r="N6" s="95"/>
      <c r="O6" s="95" t="s">
        <v>307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6"/>
      <c r="BF6" s="96"/>
      <c r="BG6" s="96"/>
      <c r="BH6" s="96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</row>
    <row r="7" spans="1:73" s="98" customFormat="1" x14ac:dyDescent="0.25">
      <c r="A7" s="91">
        <v>43900</v>
      </c>
      <c r="B7" s="99" t="s">
        <v>259</v>
      </c>
      <c r="C7" s="99" t="s">
        <v>260</v>
      </c>
      <c r="D7" s="100">
        <v>1981</v>
      </c>
      <c r="E7" s="93">
        <v>1</v>
      </c>
      <c r="F7" s="66" t="s">
        <v>32</v>
      </c>
      <c r="G7" s="100" t="s">
        <v>197</v>
      </c>
      <c r="H7" s="100" t="s">
        <v>208</v>
      </c>
      <c r="I7" s="101">
        <v>0.75</v>
      </c>
      <c r="J7" s="101">
        <v>0.74</v>
      </c>
      <c r="K7" s="101">
        <v>0.74</v>
      </c>
      <c r="L7" s="101">
        <v>0.84</v>
      </c>
      <c r="M7" s="101">
        <v>0.83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6"/>
      <c r="BF7" s="96"/>
      <c r="BG7" s="96"/>
      <c r="BH7" s="96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</row>
    <row r="8" spans="1:73" s="98" customFormat="1" x14ac:dyDescent="0.25">
      <c r="A8" s="91">
        <v>43900</v>
      </c>
      <c r="B8" s="92"/>
      <c r="C8" s="92"/>
      <c r="D8" s="66"/>
      <c r="E8" s="93"/>
      <c r="F8" s="66"/>
      <c r="G8" s="66"/>
      <c r="H8" s="66"/>
      <c r="I8" s="94">
        <v>157680000</v>
      </c>
      <c r="J8" s="94">
        <v>473040000</v>
      </c>
      <c r="K8" s="94">
        <v>788400000</v>
      </c>
      <c r="L8" s="94">
        <v>1103760000</v>
      </c>
      <c r="M8" s="94">
        <v>1419120000</v>
      </c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6"/>
      <c r="BF8" s="96"/>
      <c r="BG8" s="96"/>
      <c r="BH8" s="96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</row>
    <row r="9" spans="1:73" s="98" customFormat="1" x14ac:dyDescent="0.25">
      <c r="A9" s="91">
        <v>43900</v>
      </c>
      <c r="B9" s="99" t="s">
        <v>259</v>
      </c>
      <c r="C9" s="99" t="s">
        <v>260</v>
      </c>
      <c r="D9" s="100">
        <v>1981</v>
      </c>
      <c r="E9" s="93">
        <v>1</v>
      </c>
      <c r="F9" s="66" t="s">
        <v>32</v>
      </c>
      <c r="G9" s="100" t="s">
        <v>197</v>
      </c>
      <c r="H9" s="100" t="s">
        <v>206</v>
      </c>
      <c r="I9" s="101">
        <v>0.74468085106382975</v>
      </c>
      <c r="J9" s="101">
        <v>0.81355932203389836</v>
      </c>
      <c r="K9" s="101">
        <v>0.76470588235294124</v>
      </c>
      <c r="L9" s="101">
        <v>0.81666666666666665</v>
      </c>
      <c r="M9" s="101">
        <v>0.80434782608695643</v>
      </c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6"/>
      <c r="BF9" s="96"/>
      <c r="BG9" s="96"/>
      <c r="BH9" s="96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</row>
    <row r="10" spans="1:73" s="98" customFormat="1" x14ac:dyDescent="0.25">
      <c r="A10" s="91">
        <v>43900</v>
      </c>
      <c r="B10" s="92"/>
      <c r="C10" s="92"/>
      <c r="D10" s="66"/>
      <c r="E10" s="93"/>
      <c r="F10" s="66"/>
      <c r="G10" s="66"/>
      <c r="H10" s="66"/>
      <c r="I10" s="94">
        <v>157680000</v>
      </c>
      <c r="J10" s="94">
        <v>473040000</v>
      </c>
      <c r="K10" s="94">
        <v>788400000</v>
      </c>
      <c r="L10" s="94">
        <v>1103760000</v>
      </c>
      <c r="M10" s="94">
        <v>1419120000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6"/>
      <c r="BG10" s="96"/>
      <c r="BH10" s="96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</row>
    <row r="11" spans="1:73" s="98" customFormat="1" x14ac:dyDescent="0.25">
      <c r="A11" s="91">
        <v>43900</v>
      </c>
      <c r="B11" s="99" t="s">
        <v>259</v>
      </c>
      <c r="C11" s="99" t="s">
        <v>260</v>
      </c>
      <c r="D11" s="100">
        <v>1981</v>
      </c>
      <c r="E11" s="93">
        <v>1</v>
      </c>
      <c r="F11" s="66" t="s">
        <v>32</v>
      </c>
      <c r="G11" s="100" t="s">
        <v>197</v>
      </c>
      <c r="H11" s="100" t="s">
        <v>206</v>
      </c>
      <c r="I11" s="101">
        <v>0.75324675324675316</v>
      </c>
      <c r="J11" s="101">
        <v>0.85526315789473684</v>
      </c>
      <c r="K11" s="101">
        <v>0.80519480519480513</v>
      </c>
      <c r="L11" s="101">
        <v>0.69117647058823517</v>
      </c>
      <c r="M11" s="101">
        <v>0.76623376623376616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6"/>
      <c r="BF11" s="96"/>
      <c r="BG11" s="96"/>
      <c r="BH11" s="96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</row>
    <row r="12" spans="1:73" x14ac:dyDescent="0.25">
      <c r="A12" s="30">
        <v>43900</v>
      </c>
      <c r="B12" s="32"/>
      <c r="C12" s="32"/>
      <c r="D12" s="31"/>
      <c r="E12" s="44"/>
      <c r="F12" s="31"/>
      <c r="G12" s="31"/>
      <c r="H12" s="31"/>
      <c r="I12" s="33">
        <v>157680000</v>
      </c>
      <c r="J12" s="33">
        <v>473040000</v>
      </c>
      <c r="K12" s="33">
        <v>788400000</v>
      </c>
      <c r="L12" s="33">
        <v>1103760000</v>
      </c>
      <c r="M12" s="33">
        <v>1419120000</v>
      </c>
      <c r="N12" s="18"/>
      <c r="O12" s="18" t="s">
        <v>307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"/>
      <c r="BF12" s="1"/>
      <c r="BG12" s="1"/>
      <c r="BH12" s="1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x14ac:dyDescent="0.25">
      <c r="A13" s="30">
        <v>43900</v>
      </c>
      <c r="B13" s="48" t="s">
        <v>262</v>
      </c>
      <c r="C13" s="48" t="s">
        <v>260</v>
      </c>
      <c r="D13" s="46">
        <v>1979</v>
      </c>
      <c r="E13" s="44">
        <v>1</v>
      </c>
      <c r="F13" s="31" t="s">
        <v>32</v>
      </c>
      <c r="G13" s="46" t="s">
        <v>197</v>
      </c>
      <c r="H13" s="46" t="s">
        <v>208</v>
      </c>
      <c r="I13" s="35">
        <v>0.8</v>
      </c>
      <c r="J13" s="35">
        <v>0.81081081081081074</v>
      </c>
      <c r="K13" s="35">
        <v>0.75925925925925919</v>
      </c>
      <c r="L13" s="35">
        <v>0.89552238805970141</v>
      </c>
      <c r="M13" s="35">
        <v>0.88571428571428579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"/>
      <c r="BF13" s="1"/>
      <c r="BG13" s="1"/>
      <c r="BH13" s="1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x14ac:dyDescent="0.25">
      <c r="A14" s="30">
        <v>43900</v>
      </c>
      <c r="B14" s="32"/>
      <c r="C14" s="32"/>
      <c r="D14" s="31"/>
      <c r="E14" s="44"/>
      <c r="F14" s="31"/>
      <c r="G14" s="31"/>
      <c r="H14" s="31"/>
      <c r="I14" s="33">
        <v>157680000</v>
      </c>
      <c r="J14" s="33">
        <v>473040000</v>
      </c>
      <c r="K14" s="33">
        <v>788400000</v>
      </c>
      <c r="L14" s="33">
        <v>1103760000</v>
      </c>
      <c r="M14" s="33">
        <v>1419120000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"/>
      <c r="BF14" s="1"/>
      <c r="BG14" s="1"/>
      <c r="BH14" s="1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x14ac:dyDescent="0.25">
      <c r="A15" s="30">
        <v>43900</v>
      </c>
      <c r="B15" s="48" t="s">
        <v>262</v>
      </c>
      <c r="C15" s="48" t="s">
        <v>260</v>
      </c>
      <c r="D15" s="46">
        <v>1979</v>
      </c>
      <c r="E15" s="44">
        <v>1</v>
      </c>
      <c r="F15" s="31" t="s">
        <v>32</v>
      </c>
      <c r="G15" s="46" t="s">
        <v>197</v>
      </c>
      <c r="H15" s="46" t="s">
        <v>206</v>
      </c>
      <c r="I15" s="35">
        <v>0.76190476190476197</v>
      </c>
      <c r="J15" s="35">
        <v>0.82758620689655171</v>
      </c>
      <c r="K15" s="35">
        <v>0.82692307692307687</v>
      </c>
      <c r="L15" s="35">
        <v>0.83606557377049184</v>
      </c>
      <c r="M15" s="35">
        <v>0.84126984126984128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"/>
      <c r="BF15" s="1"/>
      <c r="BG15" s="1"/>
      <c r="BH15" s="1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x14ac:dyDescent="0.25">
      <c r="A16" s="30">
        <v>43509</v>
      </c>
      <c r="B16" s="32"/>
      <c r="C16" s="32"/>
      <c r="D16" s="31"/>
      <c r="E16" s="56"/>
      <c r="F16" s="31"/>
      <c r="G16" s="31"/>
      <c r="H16" s="31"/>
      <c r="I16" s="33">
        <f>1.2*60</f>
        <v>72</v>
      </c>
      <c r="J16" s="33">
        <f>2.4*60</f>
        <v>144</v>
      </c>
      <c r="K16" s="33">
        <f>5.5*60</f>
        <v>330</v>
      </c>
      <c r="L16" s="33">
        <f>60*9.5</f>
        <v>570</v>
      </c>
      <c r="M16" s="33">
        <f>60*17.3</f>
        <v>1038</v>
      </c>
      <c r="N16" s="33">
        <f>60*33.1</f>
        <v>1986</v>
      </c>
      <c r="O16" s="33">
        <f>60*64.2</f>
        <v>3852</v>
      </c>
      <c r="P16" s="33">
        <f>24*60*60</f>
        <v>86400</v>
      </c>
      <c r="Q16" s="33">
        <f>P16*7</f>
        <v>604800</v>
      </c>
      <c r="R16" s="33">
        <f>Q16*4</f>
        <v>2419200</v>
      </c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"/>
      <c r="BF16" s="1"/>
      <c r="BG16" s="1"/>
      <c r="BH16" s="1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x14ac:dyDescent="0.25">
      <c r="A17" s="30">
        <v>43509</v>
      </c>
      <c r="B17" s="32" t="s">
        <v>9</v>
      </c>
      <c r="C17" s="32" t="s">
        <v>10</v>
      </c>
      <c r="D17" s="31">
        <v>2009</v>
      </c>
      <c r="E17" s="56">
        <v>1</v>
      </c>
      <c r="F17" s="31" t="s">
        <v>13</v>
      </c>
      <c r="G17" s="31" t="s">
        <v>344</v>
      </c>
      <c r="H17" s="31" t="s">
        <v>12</v>
      </c>
      <c r="I17" s="35">
        <v>0.62</v>
      </c>
      <c r="J17" s="35">
        <v>0.49</v>
      </c>
      <c r="K17" s="35">
        <v>0.36</v>
      </c>
      <c r="L17" s="35">
        <v>0.32</v>
      </c>
      <c r="M17" s="35">
        <v>0.3</v>
      </c>
      <c r="N17" s="35">
        <v>0.28999999999999998</v>
      </c>
      <c r="O17" s="35">
        <v>0.3</v>
      </c>
      <c r="P17" s="35">
        <v>0.23</v>
      </c>
      <c r="Q17" s="35">
        <v>0.2</v>
      </c>
      <c r="R17" s="35">
        <v>0.2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"/>
      <c r="BF17" s="1"/>
      <c r="BG17" s="1"/>
      <c r="BH17" s="1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x14ac:dyDescent="0.25">
      <c r="A18" s="30">
        <v>43509</v>
      </c>
      <c r="B18" s="32"/>
      <c r="C18" s="32"/>
      <c r="D18" s="31"/>
      <c r="E18" s="56"/>
      <c r="F18" s="31"/>
      <c r="G18" s="31"/>
      <c r="H18" s="31"/>
      <c r="I18" s="33">
        <f>1.2*60</f>
        <v>72</v>
      </c>
      <c r="J18" s="33">
        <f>2.4*60</f>
        <v>144</v>
      </c>
      <c r="K18" s="33">
        <f>5.5*60</f>
        <v>330</v>
      </c>
      <c r="L18" s="33">
        <f>60*9.5</f>
        <v>570</v>
      </c>
      <c r="M18" s="33">
        <f>60*17.3</f>
        <v>1038</v>
      </c>
      <c r="N18" s="33">
        <f>60*33.1</f>
        <v>1986</v>
      </c>
      <c r="O18" s="33">
        <f>60*64.2</f>
        <v>3852</v>
      </c>
      <c r="P18" s="33">
        <f>24*60*60</f>
        <v>86400</v>
      </c>
      <c r="Q18" s="33">
        <f>P18*7</f>
        <v>604800</v>
      </c>
      <c r="R18" s="33">
        <f>Q18*4</f>
        <v>2419200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"/>
      <c r="BF18" s="1"/>
      <c r="BG18" s="1"/>
      <c r="BH18" s="1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x14ac:dyDescent="0.25">
      <c r="A19" s="30">
        <v>43509</v>
      </c>
      <c r="B19" s="32" t="s">
        <v>9</v>
      </c>
      <c r="C19" s="32" t="s">
        <v>10</v>
      </c>
      <c r="D19" s="31">
        <v>2009</v>
      </c>
      <c r="E19" s="56">
        <v>1</v>
      </c>
      <c r="F19" s="31" t="s">
        <v>13</v>
      </c>
      <c r="G19" s="31" t="s">
        <v>345</v>
      </c>
      <c r="H19" s="43" t="s">
        <v>12</v>
      </c>
      <c r="I19" s="35">
        <v>0.47</v>
      </c>
      <c r="J19" s="35">
        <v>0.35</v>
      </c>
      <c r="K19" s="35">
        <v>0.28000000000000003</v>
      </c>
      <c r="L19" s="35">
        <v>0.28000000000000003</v>
      </c>
      <c r="M19" s="35">
        <v>0.26</v>
      </c>
      <c r="N19" s="35">
        <v>0.26</v>
      </c>
      <c r="O19" s="35">
        <v>0.25</v>
      </c>
      <c r="P19" s="35">
        <v>0.23</v>
      </c>
      <c r="Q19" s="35">
        <v>0.2</v>
      </c>
      <c r="R19" s="35">
        <v>0.2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"/>
      <c r="BF19" s="1"/>
      <c r="BG19" s="1"/>
      <c r="BH19" s="1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x14ac:dyDescent="0.25">
      <c r="A20" s="30">
        <v>43895</v>
      </c>
      <c r="B20" s="32"/>
      <c r="C20" s="32"/>
      <c r="D20" s="31"/>
      <c r="E20" s="44"/>
      <c r="F20" s="31"/>
      <c r="G20" s="31"/>
      <c r="H20" s="31"/>
      <c r="I20" s="33">
        <v>315360000</v>
      </c>
      <c r="J20" s="33">
        <v>630720000</v>
      </c>
      <c r="K20" s="33">
        <v>646080000</v>
      </c>
      <c r="L20" s="33">
        <v>12614400000</v>
      </c>
      <c r="M20" s="33">
        <v>1576800000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"/>
      <c r="BF20" s="1"/>
      <c r="BG20" s="1"/>
      <c r="BH20" s="1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x14ac:dyDescent="0.25">
      <c r="A21" s="30">
        <v>43895</v>
      </c>
      <c r="B21" s="32" t="s">
        <v>200</v>
      </c>
      <c r="C21" s="32" t="s">
        <v>201</v>
      </c>
      <c r="D21" s="31">
        <v>1987</v>
      </c>
      <c r="E21" s="44">
        <v>1</v>
      </c>
      <c r="F21" s="31" t="s">
        <v>32</v>
      </c>
      <c r="G21" s="46" t="s">
        <v>197</v>
      </c>
      <c r="H21" s="31" t="s">
        <v>208</v>
      </c>
      <c r="I21" s="35">
        <v>0.65454545454545443</v>
      </c>
      <c r="J21" s="35">
        <v>0.64044943820224709</v>
      </c>
      <c r="K21" s="35">
        <v>0.59722222222222221</v>
      </c>
      <c r="L21" s="35">
        <v>0.75675675675675669</v>
      </c>
      <c r="M21" s="35">
        <v>0.76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"/>
      <c r="BF21" s="1"/>
      <c r="BG21" s="1"/>
      <c r="BH21" s="1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x14ac:dyDescent="0.25">
      <c r="A22" s="30">
        <v>43895</v>
      </c>
      <c r="B22" s="32"/>
      <c r="C22" s="32"/>
      <c r="D22" s="31"/>
      <c r="E22" s="44"/>
      <c r="F22" s="31"/>
      <c r="G22" s="31"/>
      <c r="H22" s="31"/>
      <c r="I22" s="33">
        <v>157680000</v>
      </c>
      <c r="J22" s="33">
        <v>473040000</v>
      </c>
      <c r="K22" s="33">
        <v>788400000</v>
      </c>
      <c r="L22" s="33">
        <v>1103760000</v>
      </c>
      <c r="M22" s="33">
        <v>1419120000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"/>
      <c r="BF22" s="1"/>
      <c r="BG22" s="1"/>
      <c r="BH22" s="1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x14ac:dyDescent="0.25">
      <c r="A23" s="30">
        <v>43895</v>
      </c>
      <c r="B23" s="32" t="s">
        <v>200</v>
      </c>
      <c r="C23" s="32" t="s">
        <v>201</v>
      </c>
      <c r="D23" s="31">
        <v>1987</v>
      </c>
      <c r="E23" s="44">
        <v>1</v>
      </c>
      <c r="F23" s="31" t="s">
        <v>25</v>
      </c>
      <c r="G23" s="46" t="s">
        <v>197</v>
      </c>
      <c r="H23" s="31" t="s">
        <v>202</v>
      </c>
      <c r="I23" s="35">
        <v>0.68</v>
      </c>
      <c r="J23" s="35">
        <v>0.71153846153846145</v>
      </c>
      <c r="K23" s="35">
        <v>0.65384615384615385</v>
      </c>
      <c r="L23" s="35">
        <v>0.72222222222222221</v>
      </c>
      <c r="M23" s="35">
        <v>0.76271186440677974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"/>
      <c r="BF23" s="1"/>
      <c r="BG23" s="1"/>
      <c r="BH23" s="1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x14ac:dyDescent="0.25">
      <c r="A24" s="27">
        <v>43895</v>
      </c>
      <c r="B24" s="1"/>
      <c r="C24" s="1"/>
      <c r="D24" s="23"/>
      <c r="E24" s="38"/>
      <c r="F24" s="23"/>
      <c r="G24" s="23"/>
      <c r="H24" s="23"/>
      <c r="I24" s="12">
        <v>157680000</v>
      </c>
      <c r="J24" s="12">
        <v>473040000</v>
      </c>
      <c r="K24" s="12">
        <v>788400000</v>
      </c>
      <c r="L24" s="12">
        <v>1103760000</v>
      </c>
      <c r="M24" s="12">
        <v>1419120000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"/>
      <c r="BF24" s="1"/>
      <c r="BG24" s="1"/>
      <c r="BH24" s="1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x14ac:dyDescent="0.25">
      <c r="A25" s="27">
        <v>43895</v>
      </c>
      <c r="B25" s="1" t="s">
        <v>203</v>
      </c>
      <c r="C25" s="1" t="s">
        <v>204</v>
      </c>
      <c r="D25" s="23">
        <v>1988</v>
      </c>
      <c r="E25" s="38">
        <v>1</v>
      </c>
      <c r="F25" s="23" t="s">
        <v>25</v>
      </c>
      <c r="G25" s="22" t="s">
        <v>236</v>
      </c>
      <c r="H25" s="23" t="s">
        <v>202</v>
      </c>
      <c r="I25" s="18">
        <v>0.69</v>
      </c>
      <c r="J25" s="18">
        <v>0.74</v>
      </c>
      <c r="K25" s="18">
        <v>0.79</v>
      </c>
      <c r="L25" s="18">
        <v>0.8</v>
      </c>
      <c r="M25" s="18">
        <v>0.79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"/>
      <c r="BF25" s="1"/>
      <c r="BG25" s="1"/>
      <c r="BH25" s="1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x14ac:dyDescent="0.25">
      <c r="A26" s="30">
        <v>43509</v>
      </c>
      <c r="B26" s="32"/>
      <c r="C26" s="32"/>
      <c r="D26" s="31"/>
      <c r="E26" s="44"/>
      <c r="F26" s="31"/>
      <c r="G26" s="31"/>
      <c r="H26" s="31"/>
      <c r="I26" s="33">
        <v>0.5</v>
      </c>
      <c r="J26" s="33">
        <v>7.5</v>
      </c>
      <c r="K26" s="33">
        <v>15</v>
      </c>
      <c r="L26" s="33">
        <v>22.5</v>
      </c>
      <c r="M26" s="33">
        <v>30</v>
      </c>
      <c r="N26" s="33">
        <v>37.5</v>
      </c>
      <c r="O26" s="33">
        <v>45</v>
      </c>
      <c r="P26" s="33">
        <v>60</v>
      </c>
      <c r="Q26" s="33">
        <v>120</v>
      </c>
      <c r="R26" s="35">
        <v>240</v>
      </c>
      <c r="S26" s="35">
        <v>360</v>
      </c>
      <c r="T26" s="35">
        <v>720</v>
      </c>
      <c r="U26" s="35">
        <v>1500</v>
      </c>
      <c r="V26" s="35">
        <v>3600</v>
      </c>
      <c r="W26" s="35">
        <v>7200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"/>
      <c r="BF26" s="1"/>
      <c r="BG26" s="1"/>
      <c r="BH26" s="1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x14ac:dyDescent="0.25">
      <c r="A27" s="30">
        <v>43509</v>
      </c>
      <c r="B27" s="52" t="s">
        <v>162</v>
      </c>
      <c r="C27" s="52" t="s">
        <v>50</v>
      </c>
      <c r="D27" s="51">
        <v>1974</v>
      </c>
      <c r="E27" s="57">
        <v>1</v>
      </c>
      <c r="F27" s="51" t="s">
        <v>20</v>
      </c>
      <c r="G27" s="51" t="s">
        <v>529</v>
      </c>
      <c r="H27" s="51" t="s">
        <v>292</v>
      </c>
      <c r="I27" s="53">
        <v>0.91</v>
      </c>
      <c r="J27" s="53">
        <v>0.81499999999999995</v>
      </c>
      <c r="K27" s="53">
        <v>0.82499999999999996</v>
      </c>
      <c r="L27" s="53">
        <v>0.80500000000000005</v>
      </c>
      <c r="M27" s="53">
        <v>0.81499999999999995</v>
      </c>
      <c r="N27" s="53">
        <v>0.76</v>
      </c>
      <c r="O27" s="53">
        <v>0.78500000000000003</v>
      </c>
      <c r="P27" s="53">
        <v>0.79</v>
      </c>
      <c r="Q27" s="53">
        <v>0.78</v>
      </c>
      <c r="R27" s="53">
        <v>0.72499999999999998</v>
      </c>
      <c r="S27" s="53">
        <v>0.71</v>
      </c>
      <c r="T27" s="53">
        <v>0.65999999999999992</v>
      </c>
      <c r="U27" s="53">
        <v>0.64500000000000002</v>
      </c>
      <c r="V27" s="53">
        <v>0.63</v>
      </c>
      <c r="W27" s="53">
        <v>0.6100000000000001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7"/>
      <c r="BF27" s="7"/>
      <c r="BG27" s="7"/>
      <c r="BH27" s="7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</row>
    <row r="28" spans="1:73" x14ac:dyDescent="0.25">
      <c r="A28" s="27">
        <v>43951</v>
      </c>
      <c r="B28" s="1"/>
      <c r="C28" s="1"/>
      <c r="D28" s="23"/>
      <c r="E28" s="38"/>
      <c r="F28" s="23"/>
      <c r="G28" s="23"/>
      <c r="H28" s="23"/>
      <c r="I28" s="12">
        <f>60*4</f>
        <v>240</v>
      </c>
      <c r="J28" s="12">
        <f>60*60*6</f>
        <v>21600</v>
      </c>
      <c r="K28" s="12">
        <f>60*60*24</f>
        <v>86400</v>
      </c>
      <c r="L28" s="12">
        <f>60*60*48</f>
        <v>172800</v>
      </c>
      <c r="M28" s="12">
        <f>60*60*72</f>
        <v>259200</v>
      </c>
      <c r="N28" s="12"/>
      <c r="O28" s="12"/>
      <c r="P28" s="12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"/>
      <c r="BF28" s="1"/>
      <c r="BG28" s="1"/>
      <c r="BH28" s="1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x14ac:dyDescent="0.25">
      <c r="A29" s="27">
        <v>43951</v>
      </c>
      <c r="B29" s="1" t="s">
        <v>478</v>
      </c>
      <c r="C29" s="1" t="s">
        <v>15</v>
      </c>
      <c r="D29" s="23">
        <v>1954</v>
      </c>
      <c r="E29" s="38">
        <v>1</v>
      </c>
      <c r="F29" s="23" t="s">
        <v>17</v>
      </c>
      <c r="G29" s="23" t="s">
        <v>479</v>
      </c>
      <c r="H29" s="23" t="s">
        <v>190</v>
      </c>
      <c r="I29" s="18">
        <v>0.21333333333333335</v>
      </c>
      <c r="J29" s="18">
        <v>0.36333333333333334</v>
      </c>
      <c r="K29" s="18">
        <v>0.44333333333333336</v>
      </c>
      <c r="L29" s="18">
        <v>0.41333333333333333</v>
      </c>
      <c r="M29" s="18">
        <v>0.42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"/>
      <c r="BF29" s="1"/>
      <c r="BG29" s="1"/>
      <c r="BH29" s="1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x14ac:dyDescent="0.25">
      <c r="A30" s="27">
        <v>43951</v>
      </c>
      <c r="B30" s="1"/>
      <c r="C30" s="1"/>
      <c r="D30" s="23"/>
      <c r="E30" s="38"/>
      <c r="F30" s="23"/>
      <c r="G30" s="23"/>
      <c r="H30" s="23"/>
      <c r="I30" s="12">
        <f>60*4</f>
        <v>240</v>
      </c>
      <c r="J30" s="12">
        <f>60*60*6</f>
        <v>21600</v>
      </c>
      <c r="K30" s="12">
        <f>60*60*24</f>
        <v>86400</v>
      </c>
      <c r="L30" s="12">
        <f>60*60*48</f>
        <v>172800</v>
      </c>
      <c r="M30" s="12">
        <f>60*60*72</f>
        <v>259200</v>
      </c>
      <c r="N30" s="12"/>
      <c r="O30" s="12"/>
      <c r="P30" s="1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"/>
      <c r="BF30" s="1"/>
      <c r="BG30" s="1"/>
      <c r="BH30" s="1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x14ac:dyDescent="0.25">
      <c r="A31" s="27">
        <v>43951</v>
      </c>
      <c r="B31" s="1" t="s">
        <v>478</v>
      </c>
      <c r="C31" s="1" t="s">
        <v>15</v>
      </c>
      <c r="D31" s="23">
        <v>1954</v>
      </c>
      <c r="E31" s="38">
        <v>1</v>
      </c>
      <c r="F31" s="23" t="s">
        <v>25</v>
      </c>
      <c r="G31" s="23" t="s">
        <v>393</v>
      </c>
      <c r="H31" s="23" t="s">
        <v>190</v>
      </c>
      <c r="I31" s="18">
        <v>0.49302759668930835</v>
      </c>
      <c r="J31" s="18">
        <v>0.51910352257304326</v>
      </c>
      <c r="K31" s="18">
        <v>0.56829602892786502</v>
      </c>
      <c r="L31" s="18">
        <v>0.44770358484650163</v>
      </c>
      <c r="M31" s="18">
        <v>0.51129031908095579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"/>
      <c r="BF31" s="1"/>
      <c r="BG31" s="1"/>
      <c r="BH31" s="1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x14ac:dyDescent="0.25">
      <c r="A32" s="27">
        <v>43900</v>
      </c>
      <c r="B32" s="1"/>
      <c r="C32" s="1"/>
      <c r="D32" s="23"/>
      <c r="E32" s="38"/>
      <c r="F32" s="23"/>
      <c r="G32" s="23"/>
      <c r="H32" s="23"/>
      <c r="I32" s="12">
        <v>157680000</v>
      </c>
      <c r="J32" s="12">
        <v>473040000</v>
      </c>
      <c r="K32" s="12">
        <v>788400000</v>
      </c>
      <c r="L32" s="12">
        <v>1103760000</v>
      </c>
      <c r="M32" s="12">
        <v>1419120000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"/>
      <c r="BF32" s="1"/>
      <c r="BG32" s="1"/>
      <c r="BH32" s="1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3" x14ac:dyDescent="0.25">
      <c r="A33" s="27">
        <v>43900</v>
      </c>
      <c r="B33" s="1" t="s">
        <v>263</v>
      </c>
      <c r="C33" s="1" t="s">
        <v>264</v>
      </c>
      <c r="D33" s="23">
        <v>1984</v>
      </c>
      <c r="E33" s="38">
        <v>1</v>
      </c>
      <c r="F33" s="23" t="s">
        <v>27</v>
      </c>
      <c r="G33" s="23" t="s">
        <v>197</v>
      </c>
      <c r="H33" s="23" t="s">
        <v>208</v>
      </c>
      <c r="I33" s="18">
        <v>0.79166666666666674</v>
      </c>
      <c r="J33" s="18">
        <v>0.76595744680851063</v>
      </c>
      <c r="K33" s="18">
        <v>0.74999999999999989</v>
      </c>
      <c r="L33" s="18">
        <v>0.83783783783783783</v>
      </c>
      <c r="M33" s="18">
        <v>0.83783783783783783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"/>
      <c r="BF33" s="1"/>
      <c r="BG33" s="1"/>
      <c r="BH33" s="1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3" x14ac:dyDescent="0.25">
      <c r="A34" s="30">
        <v>43902</v>
      </c>
      <c r="B34" s="32"/>
      <c r="C34" s="32"/>
      <c r="D34" s="31"/>
      <c r="E34" s="44"/>
      <c r="F34" s="31"/>
      <c r="G34" s="31"/>
      <c r="H34" s="31"/>
      <c r="I34" s="33">
        <v>157680000</v>
      </c>
      <c r="J34" s="33">
        <v>473040000</v>
      </c>
      <c r="K34" s="33">
        <v>788400000</v>
      </c>
      <c r="L34" s="33">
        <v>1103760000</v>
      </c>
      <c r="M34" s="33">
        <v>1419120000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"/>
      <c r="BF34" s="1"/>
      <c r="BG34" s="1"/>
      <c r="BH34" s="1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3" x14ac:dyDescent="0.25">
      <c r="A35" s="30">
        <v>43902</v>
      </c>
      <c r="B35" s="32" t="s">
        <v>286</v>
      </c>
      <c r="C35" s="32" t="s">
        <v>81</v>
      </c>
      <c r="D35" s="31">
        <v>1982</v>
      </c>
      <c r="E35" s="44">
        <v>1</v>
      </c>
      <c r="F35" s="31" t="s">
        <v>287</v>
      </c>
      <c r="G35" s="31" t="s">
        <v>197</v>
      </c>
      <c r="H35" s="31" t="s">
        <v>208</v>
      </c>
      <c r="I35" s="35">
        <v>0.75409836065573776</v>
      </c>
      <c r="J35" s="35">
        <v>0.72413793103448276</v>
      </c>
      <c r="K35" s="35">
        <v>0.72413793103448276</v>
      </c>
      <c r="L35" s="35">
        <v>0.84126984126984128</v>
      </c>
      <c r="M35" s="35">
        <v>0.82758620689655171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"/>
      <c r="BF35" s="1"/>
      <c r="BG35" s="1"/>
      <c r="BH35" s="1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3" x14ac:dyDescent="0.25">
      <c r="A36" s="30">
        <v>43902</v>
      </c>
      <c r="B36" s="32"/>
      <c r="C36" s="32"/>
      <c r="D36" s="31"/>
      <c r="E36" s="44"/>
      <c r="F36" s="31"/>
      <c r="G36" s="31"/>
      <c r="H36" s="31"/>
      <c r="I36" s="33">
        <v>157680000</v>
      </c>
      <c r="J36" s="33">
        <v>473040000</v>
      </c>
      <c r="K36" s="33">
        <v>788400000</v>
      </c>
      <c r="L36" s="33">
        <v>1103760000</v>
      </c>
      <c r="M36" s="33">
        <v>1419120000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"/>
      <c r="BF36" s="1"/>
      <c r="BG36" s="1"/>
      <c r="BH36" s="1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3" x14ac:dyDescent="0.25">
      <c r="A37" s="30">
        <v>43902</v>
      </c>
      <c r="B37" s="32" t="s">
        <v>286</v>
      </c>
      <c r="C37" s="32" t="s">
        <v>81</v>
      </c>
      <c r="D37" s="31">
        <v>1982</v>
      </c>
      <c r="E37" s="44">
        <v>1</v>
      </c>
      <c r="F37" s="31" t="s">
        <v>287</v>
      </c>
      <c r="G37" s="31" t="s">
        <v>197</v>
      </c>
      <c r="H37" s="31" t="s">
        <v>206</v>
      </c>
      <c r="I37" s="35">
        <v>0.72687224669603523</v>
      </c>
      <c r="J37" s="35">
        <v>0.80357142857142849</v>
      </c>
      <c r="K37" s="35">
        <v>0.75862068965517204</v>
      </c>
      <c r="L37" s="35">
        <v>0.82456140350877194</v>
      </c>
      <c r="M37" s="35">
        <v>0.80434782608695643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"/>
      <c r="BF37" s="1"/>
      <c r="BG37" s="1"/>
      <c r="BH37" s="1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3" x14ac:dyDescent="0.25">
      <c r="A38" s="27">
        <v>43895</v>
      </c>
      <c r="B38" s="1"/>
      <c r="C38" s="1"/>
      <c r="D38" s="23"/>
      <c r="E38" s="38"/>
      <c r="F38" s="23"/>
      <c r="G38" s="23"/>
      <c r="H38" s="23"/>
      <c r="I38" s="12">
        <v>157680000</v>
      </c>
      <c r="J38" s="12">
        <v>473040000</v>
      </c>
      <c r="K38" s="12">
        <v>788400000</v>
      </c>
      <c r="L38" s="12">
        <v>1103760000</v>
      </c>
      <c r="M38" s="12">
        <v>1419120000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"/>
      <c r="BF38" s="1"/>
      <c r="BG38" s="1"/>
      <c r="BH38" s="1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3" x14ac:dyDescent="0.25">
      <c r="A39" s="27">
        <v>43895</v>
      </c>
      <c r="B39" s="1" t="s">
        <v>205</v>
      </c>
      <c r="C39" s="1" t="s">
        <v>36</v>
      </c>
      <c r="D39" s="23">
        <v>1983</v>
      </c>
      <c r="E39" s="38">
        <v>1</v>
      </c>
      <c r="F39" s="23" t="s">
        <v>207</v>
      </c>
      <c r="G39" s="23" t="s">
        <v>197</v>
      </c>
      <c r="H39" s="23" t="s">
        <v>206</v>
      </c>
      <c r="I39" s="18">
        <v>0.8125</v>
      </c>
      <c r="J39" s="18">
        <v>0.82352941176470595</v>
      </c>
      <c r="K39" s="18">
        <v>0.78</v>
      </c>
      <c r="L39" s="18">
        <v>0.83636363636363631</v>
      </c>
      <c r="M39" s="18">
        <v>0.82352941176470584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"/>
      <c r="BF39" s="1"/>
      <c r="BG39" s="1"/>
      <c r="BH39" s="1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</row>
    <row r="40" spans="1:73" x14ac:dyDescent="0.25">
      <c r="A40" s="27">
        <v>43895</v>
      </c>
      <c r="B40" s="1"/>
      <c r="C40" s="1"/>
      <c r="D40" s="23"/>
      <c r="E40" s="38"/>
      <c r="F40" s="23"/>
      <c r="G40" s="23"/>
      <c r="H40" s="23"/>
      <c r="I40" s="12">
        <v>157680000</v>
      </c>
      <c r="J40" s="12">
        <v>473040000</v>
      </c>
      <c r="K40" s="12">
        <v>788400000</v>
      </c>
      <c r="L40" s="12">
        <v>1103760000</v>
      </c>
      <c r="M40" s="12">
        <v>1419120000</v>
      </c>
      <c r="N40" s="18"/>
      <c r="O40" s="18"/>
      <c r="P40" s="12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"/>
      <c r="BF40" s="1"/>
      <c r="BG40" s="1"/>
      <c r="BH40" s="1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</row>
    <row r="41" spans="1:73" x14ac:dyDescent="0.25">
      <c r="A41" s="27">
        <v>43895</v>
      </c>
      <c r="B41" s="1" t="s">
        <v>205</v>
      </c>
      <c r="C41" s="1" t="s">
        <v>36</v>
      </c>
      <c r="D41" s="23">
        <v>1983</v>
      </c>
      <c r="E41" s="38">
        <v>1</v>
      </c>
      <c r="F41" s="23" t="s">
        <v>27</v>
      </c>
      <c r="G41" s="23" t="s">
        <v>197</v>
      </c>
      <c r="H41" s="23" t="s">
        <v>208</v>
      </c>
      <c r="I41" s="18">
        <v>0.76</v>
      </c>
      <c r="J41" s="18">
        <v>0.7441860465116279</v>
      </c>
      <c r="K41" s="18">
        <v>0.75</v>
      </c>
      <c r="L41" s="18">
        <v>0.83</v>
      </c>
      <c r="M41" s="18">
        <v>0.81355932203389836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"/>
      <c r="BF41" s="1"/>
      <c r="BG41" s="1"/>
      <c r="BH41" s="1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</row>
    <row r="42" spans="1:73" x14ac:dyDescent="0.25">
      <c r="A42" s="30">
        <v>43509</v>
      </c>
      <c r="B42" s="32"/>
      <c r="C42" s="32"/>
      <c r="D42" s="31"/>
      <c r="E42" s="44"/>
      <c r="F42" s="31"/>
      <c r="G42" s="31"/>
      <c r="H42" s="31"/>
      <c r="I42" s="33">
        <f>20*60</f>
        <v>1200</v>
      </c>
      <c r="J42" s="33">
        <f>24*60*60*1</f>
        <v>86400</v>
      </c>
      <c r="K42" s="33">
        <f>24*60*60*7</f>
        <v>604800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"/>
      <c r="BF42" s="1"/>
      <c r="BG42" s="1"/>
      <c r="BH42" s="1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</row>
    <row r="43" spans="1:73" x14ac:dyDescent="0.25">
      <c r="A43" s="30">
        <v>43509</v>
      </c>
      <c r="B43" s="32" t="s">
        <v>62</v>
      </c>
      <c r="C43" s="32" t="s">
        <v>48</v>
      </c>
      <c r="D43" s="31">
        <v>2010</v>
      </c>
      <c r="E43" s="44">
        <v>1</v>
      </c>
      <c r="F43" s="31" t="s">
        <v>32</v>
      </c>
      <c r="G43" s="31" t="s">
        <v>392</v>
      </c>
      <c r="H43" s="31" t="s">
        <v>43</v>
      </c>
      <c r="I43" s="35">
        <v>0.60399999999999998</v>
      </c>
      <c r="J43" s="35">
        <v>0.65100000000000002</v>
      </c>
      <c r="K43" s="35">
        <v>0.51900000000000002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"/>
      <c r="BF43" s="1"/>
      <c r="BG43" s="1"/>
      <c r="BH43" s="1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</row>
    <row r="44" spans="1:73" x14ac:dyDescent="0.25">
      <c r="A44" s="27">
        <v>43903</v>
      </c>
      <c r="B44" s="5"/>
      <c r="C44" s="5"/>
      <c r="D44" s="22"/>
      <c r="E44" s="37"/>
      <c r="F44" s="22"/>
      <c r="G44" s="22"/>
      <c r="I44" s="16">
        <v>15768000</v>
      </c>
      <c r="J44" s="16">
        <f t="shared" ref="J44:P44" si="0">I44+15768000</f>
        <v>31536000</v>
      </c>
      <c r="K44" s="16">
        <f t="shared" si="0"/>
        <v>47304000</v>
      </c>
      <c r="L44" s="16">
        <f t="shared" si="0"/>
        <v>63072000</v>
      </c>
      <c r="M44" s="16">
        <f t="shared" si="0"/>
        <v>78840000</v>
      </c>
      <c r="N44" s="16">
        <f t="shared" si="0"/>
        <v>94608000</v>
      </c>
      <c r="O44" s="16">
        <f t="shared" si="0"/>
        <v>110376000</v>
      </c>
      <c r="P44" s="16">
        <f t="shared" si="0"/>
        <v>126144000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5"/>
      <c r="BF44" s="5"/>
      <c r="BG44" s="5"/>
      <c r="BH44" s="5"/>
    </row>
    <row r="45" spans="1:73" x14ac:dyDescent="0.25">
      <c r="A45" s="27">
        <v>43903</v>
      </c>
      <c r="B45" s="5" t="s">
        <v>295</v>
      </c>
      <c r="C45" s="5" t="s">
        <v>164</v>
      </c>
      <c r="D45" s="22">
        <v>2020</v>
      </c>
      <c r="E45" s="37">
        <v>1</v>
      </c>
      <c r="F45" s="22" t="s">
        <v>433</v>
      </c>
      <c r="G45" s="22" t="s">
        <v>496</v>
      </c>
      <c r="H45" s="26" t="s">
        <v>297</v>
      </c>
      <c r="I45" s="2">
        <v>0.26041666662499996</v>
      </c>
      <c r="J45" s="2">
        <v>0.34333333328000004</v>
      </c>
      <c r="K45" s="2">
        <v>0.33176100626415106</v>
      </c>
      <c r="L45" s="2">
        <v>0.25225225221621628</v>
      </c>
      <c r="M45" s="2">
        <v>0.27713178297674423</v>
      </c>
      <c r="N45" s="2">
        <v>0.30459770117241386</v>
      </c>
      <c r="O45" s="2">
        <v>0.25694444445833342</v>
      </c>
      <c r="P45" s="2">
        <v>0.28787878772727277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5"/>
      <c r="BF45" s="5"/>
      <c r="BG45" s="5"/>
      <c r="BH45" s="5"/>
    </row>
    <row r="46" spans="1:73" x14ac:dyDescent="0.25">
      <c r="A46" s="27">
        <v>43509</v>
      </c>
      <c r="B46" s="1"/>
      <c r="C46" s="1"/>
      <c r="D46" s="23"/>
      <c r="E46" s="38"/>
      <c r="F46" s="23"/>
      <c r="G46" s="23"/>
      <c r="H46" s="23"/>
      <c r="I46" s="12">
        <v>30</v>
      </c>
      <c r="J46" s="12">
        <f>3*60</f>
        <v>180</v>
      </c>
      <c r="K46" s="12">
        <f>2*60*60</f>
        <v>7200</v>
      </c>
      <c r="L46" s="12">
        <f>8*60*60</f>
        <v>28800</v>
      </c>
      <c r="M46" s="12">
        <f>12*60*60</f>
        <v>43200</v>
      </c>
      <c r="N46" s="12">
        <f>24*60*60*1</f>
        <v>86400</v>
      </c>
      <c r="O46" s="12">
        <f>24*60*60*2</f>
        <v>172800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"/>
      <c r="BF46" s="1"/>
      <c r="BG46" s="1"/>
      <c r="BH46" s="1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spans="1:73" x14ac:dyDescent="0.25">
      <c r="A47" s="27">
        <v>43509</v>
      </c>
      <c r="B47" s="1" t="s">
        <v>68</v>
      </c>
      <c r="C47" s="1" t="s">
        <v>69</v>
      </c>
      <c r="D47" s="23">
        <v>1992</v>
      </c>
      <c r="E47" s="38">
        <v>1</v>
      </c>
      <c r="F47" s="23" t="s">
        <v>24</v>
      </c>
      <c r="G47" s="23" t="s">
        <v>399</v>
      </c>
      <c r="H47" s="23" t="s">
        <v>12</v>
      </c>
      <c r="I47" s="18">
        <v>0.96699999999999997</v>
      </c>
      <c r="J47" s="18">
        <v>0.91</v>
      </c>
      <c r="K47" s="18">
        <v>0.91</v>
      </c>
      <c r="L47" s="18">
        <v>0.89</v>
      </c>
      <c r="M47" s="18">
        <v>0.81</v>
      </c>
      <c r="N47" s="18">
        <v>0.77</v>
      </c>
      <c r="O47" s="18">
        <v>0.68</v>
      </c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"/>
      <c r="BF47" s="1"/>
      <c r="BG47" s="1"/>
      <c r="BH47" s="1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</row>
    <row r="48" spans="1:73" x14ac:dyDescent="0.25">
      <c r="A48" s="27">
        <v>43509</v>
      </c>
      <c r="B48" s="1"/>
      <c r="C48" s="1"/>
      <c r="D48" s="23"/>
      <c r="E48" s="38"/>
      <c r="F48" s="23"/>
      <c r="G48" s="23"/>
      <c r="H48" s="23"/>
      <c r="I48" s="12">
        <v>30</v>
      </c>
      <c r="J48" s="12">
        <f>3*60</f>
        <v>180</v>
      </c>
      <c r="K48" s="12">
        <f>2*60*60</f>
        <v>7200</v>
      </c>
      <c r="L48" s="12">
        <f>8*60*60</f>
        <v>28800</v>
      </c>
      <c r="M48" s="12">
        <f>12*60*60</f>
        <v>43200</v>
      </c>
      <c r="N48" s="12">
        <f>24*60*60*1</f>
        <v>86400</v>
      </c>
      <c r="O48" s="12">
        <f>24*60*60*2</f>
        <v>172800</v>
      </c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"/>
      <c r="BF48" s="1"/>
      <c r="BG48" s="1"/>
      <c r="BH48" s="1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</row>
    <row r="49" spans="1:73" x14ac:dyDescent="0.25">
      <c r="A49" s="27">
        <v>43509</v>
      </c>
      <c r="B49" s="1" t="s">
        <v>68</v>
      </c>
      <c r="C49" s="1" t="s">
        <v>69</v>
      </c>
      <c r="D49" s="23">
        <v>1992</v>
      </c>
      <c r="E49" s="38">
        <v>1</v>
      </c>
      <c r="F49" s="23" t="s">
        <v>24</v>
      </c>
      <c r="G49" s="23" t="s">
        <v>400</v>
      </c>
      <c r="H49" s="23" t="s">
        <v>190</v>
      </c>
      <c r="I49" s="18">
        <v>0.96099999999999997</v>
      </c>
      <c r="J49" s="18">
        <v>1</v>
      </c>
      <c r="K49" s="18">
        <v>0.99199999999999999</v>
      </c>
      <c r="L49" s="18">
        <v>0.94199999999999995</v>
      </c>
      <c r="M49" s="18">
        <v>0.91700000000000004</v>
      </c>
      <c r="N49" s="18">
        <v>0.94199999999999995</v>
      </c>
      <c r="O49" s="18">
        <v>0.90800000000000003</v>
      </c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"/>
      <c r="BF49" s="1"/>
      <c r="BG49" s="1"/>
      <c r="BH49" s="1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</row>
    <row r="50" spans="1:73" x14ac:dyDescent="0.25">
      <c r="A50" s="27">
        <v>43509</v>
      </c>
      <c r="B50" s="1"/>
      <c r="C50" s="1"/>
      <c r="D50" s="23"/>
      <c r="E50" s="38"/>
      <c r="F50" s="23"/>
      <c r="G50" s="23"/>
      <c r="H50" s="23"/>
      <c r="I50" s="12">
        <v>30</v>
      </c>
      <c r="J50" s="12">
        <f>3*60</f>
        <v>180</v>
      </c>
      <c r="K50" s="12">
        <f>2*60*60</f>
        <v>7200</v>
      </c>
      <c r="L50" s="12">
        <f>8*60*60</f>
        <v>28800</v>
      </c>
      <c r="M50" s="12">
        <f>12*60*60</f>
        <v>43200</v>
      </c>
      <c r="N50" s="12">
        <f>24*60*60*1</f>
        <v>86400</v>
      </c>
      <c r="O50" s="12">
        <f>24*60*60*2</f>
        <v>172800</v>
      </c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"/>
      <c r="BF50" s="1"/>
      <c r="BG50" s="1"/>
      <c r="BH50" s="1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</row>
    <row r="51" spans="1:73" x14ac:dyDescent="0.25">
      <c r="A51" s="27">
        <v>43509</v>
      </c>
      <c r="B51" s="1" t="s">
        <v>68</v>
      </c>
      <c r="C51" s="1" t="s">
        <v>69</v>
      </c>
      <c r="D51" s="23">
        <v>1992</v>
      </c>
      <c r="E51" s="38">
        <v>1</v>
      </c>
      <c r="F51" s="23" t="s">
        <v>24</v>
      </c>
      <c r="G51" s="23" t="s">
        <v>398</v>
      </c>
      <c r="H51" s="23" t="s">
        <v>397</v>
      </c>
      <c r="I51" s="18">
        <v>0.68799999999999994</v>
      </c>
      <c r="J51" s="18">
        <v>0.745</v>
      </c>
      <c r="K51" s="18">
        <v>0.72499999999999998</v>
      </c>
      <c r="L51" s="18">
        <v>0.76500000000000001</v>
      </c>
      <c r="M51" s="18">
        <v>0.71</v>
      </c>
      <c r="N51" s="18">
        <v>0.72499999999999998</v>
      </c>
      <c r="O51" s="18">
        <v>0.69</v>
      </c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"/>
      <c r="BF51" s="1"/>
      <c r="BG51" s="1"/>
      <c r="BH51" s="1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</row>
    <row r="52" spans="1:73" x14ac:dyDescent="0.25">
      <c r="A52" s="27">
        <v>43509</v>
      </c>
      <c r="B52" s="1"/>
      <c r="C52" s="1"/>
      <c r="D52" s="23"/>
      <c r="E52" s="38"/>
      <c r="F52" s="23"/>
      <c r="G52" s="23"/>
      <c r="H52" s="23"/>
      <c r="I52" s="12">
        <f>3*60</f>
        <v>180</v>
      </c>
      <c r="J52" s="12">
        <f>2*60*60</f>
        <v>7200</v>
      </c>
      <c r="K52" s="12">
        <f>8*60*60</f>
        <v>28800</v>
      </c>
      <c r="L52" s="12">
        <f>12*60*60</f>
        <v>43200</v>
      </c>
      <c r="M52" s="12">
        <f>24*60*60*1</f>
        <v>86400</v>
      </c>
      <c r="N52" s="12">
        <f>24*60*60*2</f>
        <v>172800</v>
      </c>
      <c r="O52" s="14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"/>
      <c r="BF52" s="1"/>
      <c r="BG52" s="1"/>
      <c r="BH52" s="1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</row>
    <row r="53" spans="1:73" x14ac:dyDescent="0.25">
      <c r="A53" s="27">
        <v>43509</v>
      </c>
      <c r="B53" s="1" t="s">
        <v>68</v>
      </c>
      <c r="C53" s="1" t="s">
        <v>69</v>
      </c>
      <c r="D53" s="23">
        <v>1992</v>
      </c>
      <c r="E53" s="38">
        <v>1</v>
      </c>
      <c r="F53" s="23" t="s">
        <v>24</v>
      </c>
      <c r="G53" s="23" t="s">
        <v>401</v>
      </c>
      <c r="H53" s="23" t="s">
        <v>186</v>
      </c>
      <c r="I53" s="18">
        <v>0.89300000000000002</v>
      </c>
      <c r="J53" s="18">
        <v>0.82099999999999995</v>
      </c>
      <c r="K53" s="18">
        <v>0.82899999999999996</v>
      </c>
      <c r="L53" s="18">
        <v>0.82899999999999996</v>
      </c>
      <c r="M53" s="18">
        <v>0.80700000000000005</v>
      </c>
      <c r="N53" s="18">
        <v>0.78600000000000003</v>
      </c>
      <c r="O53" s="14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"/>
      <c r="BF53" s="1"/>
      <c r="BG53" s="1"/>
      <c r="BH53" s="1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</row>
    <row r="54" spans="1:73" x14ac:dyDescent="0.25">
      <c r="A54" s="27">
        <v>43509</v>
      </c>
      <c r="B54" s="1"/>
      <c r="C54" s="1"/>
      <c r="D54" s="23"/>
      <c r="E54" s="38"/>
      <c r="F54" s="23"/>
      <c r="G54" s="23"/>
      <c r="H54" s="23"/>
      <c r="I54" s="12">
        <v>60</v>
      </c>
      <c r="J54" s="12">
        <v>3600</v>
      </c>
      <c r="K54" s="12">
        <v>86400</v>
      </c>
      <c r="L54" s="12">
        <v>604800</v>
      </c>
      <c r="M54" s="12">
        <v>2419200</v>
      </c>
      <c r="N54" s="12">
        <v>7257600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"/>
      <c r="BF54" s="1"/>
      <c r="BG54" s="1"/>
      <c r="BH54" s="1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</row>
    <row r="55" spans="1:73" x14ac:dyDescent="0.25">
      <c r="A55" s="27">
        <v>43509</v>
      </c>
      <c r="B55" s="81" t="s">
        <v>178</v>
      </c>
      <c r="C55" s="1" t="s">
        <v>71</v>
      </c>
      <c r="D55" s="23">
        <v>2018</v>
      </c>
      <c r="E55" s="38">
        <v>1</v>
      </c>
      <c r="F55" s="23" t="s">
        <v>22</v>
      </c>
      <c r="G55" s="23"/>
      <c r="H55" s="23" t="s">
        <v>12</v>
      </c>
      <c r="I55" s="18">
        <v>0.45208333333333323</v>
      </c>
      <c r="J55" s="18">
        <v>0.24375000000000002</v>
      </c>
      <c r="K55" s="18">
        <v>0.23854166666666668</v>
      </c>
      <c r="L55" s="18">
        <v>8.5416666666666655E-2</v>
      </c>
      <c r="M55" s="18">
        <v>3.6458333333333336E-2</v>
      </c>
      <c r="N55" s="18">
        <v>1.8749999999999999E-2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"/>
      <c r="BF55" s="1"/>
      <c r="BG55" s="1"/>
      <c r="BH55" s="1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</row>
    <row r="56" spans="1:73" x14ac:dyDescent="0.25">
      <c r="A56" s="30">
        <v>43898</v>
      </c>
      <c r="B56" s="32"/>
      <c r="C56" s="32"/>
      <c r="D56" s="31"/>
      <c r="E56" s="44"/>
      <c r="F56" s="31"/>
      <c r="G56" s="31"/>
      <c r="H56" s="31"/>
      <c r="I56" s="83">
        <v>47304000</v>
      </c>
      <c r="J56" s="83">
        <v>110376000</v>
      </c>
      <c r="K56" s="83">
        <v>189216000</v>
      </c>
      <c r="L56" s="83">
        <v>283824000</v>
      </c>
      <c r="M56" s="33">
        <v>409968000</v>
      </c>
      <c r="N56" s="33">
        <v>567648000</v>
      </c>
      <c r="O56" s="33">
        <v>725328000</v>
      </c>
      <c r="P56" s="33">
        <v>883008000</v>
      </c>
      <c r="Q56" s="33">
        <v>1040688000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"/>
      <c r="BF56" s="1"/>
      <c r="BG56" s="1"/>
      <c r="BH56" s="1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</row>
    <row r="57" spans="1:73" x14ac:dyDescent="0.25">
      <c r="A57" s="30">
        <v>43898</v>
      </c>
      <c r="B57" s="32" t="s">
        <v>237</v>
      </c>
      <c r="C57" s="32" t="s">
        <v>36</v>
      </c>
      <c r="D57" s="31">
        <v>1990</v>
      </c>
      <c r="E57" s="44">
        <v>1</v>
      </c>
      <c r="F57" s="31" t="s">
        <v>238</v>
      </c>
      <c r="G57" s="31" t="s">
        <v>197</v>
      </c>
      <c r="H57" s="31" t="s">
        <v>206</v>
      </c>
      <c r="I57" s="82">
        <v>0.66</v>
      </c>
      <c r="J57" s="82">
        <v>0.59</v>
      </c>
      <c r="K57" s="82">
        <v>0.62</v>
      </c>
      <c r="L57" s="82">
        <v>0.64</v>
      </c>
      <c r="M57" s="35">
        <v>0.63</v>
      </c>
      <c r="N57" s="35">
        <v>0.69</v>
      </c>
      <c r="O57" s="35">
        <v>0.67</v>
      </c>
      <c r="P57" s="35">
        <v>0.68</v>
      </c>
      <c r="Q57" s="35">
        <v>0.78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"/>
      <c r="BF57" s="1"/>
      <c r="BG57" s="1"/>
      <c r="BH57" s="1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</row>
    <row r="58" spans="1:73" x14ac:dyDescent="0.25">
      <c r="A58" s="30">
        <v>43898</v>
      </c>
      <c r="B58" s="32"/>
      <c r="C58" s="32"/>
      <c r="D58" s="31"/>
      <c r="E58" s="44"/>
      <c r="F58" s="31"/>
      <c r="G58" s="31"/>
      <c r="H58" s="31"/>
      <c r="I58" s="83">
        <v>47304000</v>
      </c>
      <c r="J58" s="83">
        <v>110376000</v>
      </c>
      <c r="K58" s="83">
        <v>189216000</v>
      </c>
      <c r="L58" s="83">
        <v>283824000</v>
      </c>
      <c r="M58" s="33">
        <v>409968000</v>
      </c>
      <c r="N58" s="33">
        <v>567648000</v>
      </c>
      <c r="O58" s="33">
        <v>725328000</v>
      </c>
      <c r="P58" s="33">
        <v>883008000</v>
      </c>
      <c r="Q58" s="33">
        <v>1040688000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"/>
      <c r="BF58" s="1"/>
      <c r="BG58" s="1"/>
      <c r="BH58" s="1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</row>
    <row r="59" spans="1:73" x14ac:dyDescent="0.25">
      <c r="A59" s="30">
        <v>43898</v>
      </c>
      <c r="B59" s="32" t="s">
        <v>237</v>
      </c>
      <c r="C59" s="32" t="s">
        <v>36</v>
      </c>
      <c r="D59" s="31">
        <v>1990</v>
      </c>
      <c r="E59" s="44">
        <v>1</v>
      </c>
      <c r="F59" s="31" t="s">
        <v>238</v>
      </c>
      <c r="G59" s="31" t="s">
        <v>197</v>
      </c>
      <c r="H59" s="31" t="s">
        <v>206</v>
      </c>
      <c r="I59" s="82">
        <v>0.86</v>
      </c>
      <c r="J59" s="82">
        <v>0.82</v>
      </c>
      <c r="K59" s="82">
        <v>0.87</v>
      </c>
      <c r="L59" s="82">
        <v>0.89</v>
      </c>
      <c r="M59" s="35">
        <v>0.9</v>
      </c>
      <c r="N59" s="35">
        <v>0.93</v>
      </c>
      <c r="O59" s="35">
        <v>0.85</v>
      </c>
      <c r="P59" s="35">
        <v>0.89</v>
      </c>
      <c r="Q59" s="35">
        <v>0.93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"/>
      <c r="BF59" s="1"/>
      <c r="BG59" s="1"/>
      <c r="BH59" s="1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</row>
    <row r="60" spans="1:73" x14ac:dyDescent="0.25">
      <c r="A60" s="30">
        <v>43509</v>
      </c>
      <c r="B60" s="32"/>
      <c r="C60" s="32"/>
      <c r="D60" s="31"/>
      <c r="E60" s="44"/>
      <c r="F60" s="31"/>
      <c r="G60" s="31"/>
      <c r="H60" s="31"/>
      <c r="I60" s="33">
        <f>30*24*60*60*4</f>
        <v>10368000</v>
      </c>
      <c r="J60" s="33">
        <f>30*24*60*60*7</f>
        <v>18144000</v>
      </c>
      <c r="K60" s="33">
        <f>30*24*60*60*10</f>
        <v>25920000</v>
      </c>
      <c r="L60" s="33">
        <f>30*24*60*60*13</f>
        <v>33696000</v>
      </c>
      <c r="M60" s="33">
        <f>30*24*60*60*16</f>
        <v>41472000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"/>
      <c r="BF60" s="1"/>
      <c r="BG60" s="1"/>
      <c r="BH60" s="1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</row>
    <row r="61" spans="1:73" x14ac:dyDescent="0.25">
      <c r="A61" s="30">
        <v>43509</v>
      </c>
      <c r="B61" s="32" t="s">
        <v>109</v>
      </c>
      <c r="C61" s="32" t="s">
        <v>110</v>
      </c>
      <c r="D61" s="31">
        <v>1978</v>
      </c>
      <c r="E61" s="44">
        <v>1</v>
      </c>
      <c r="F61" s="31" t="s">
        <v>24</v>
      </c>
      <c r="G61" s="31" t="s">
        <v>409</v>
      </c>
      <c r="H61" s="31" t="s">
        <v>343</v>
      </c>
      <c r="I61" s="35">
        <v>0.49</v>
      </c>
      <c r="J61" s="35">
        <v>0.51249999999999996</v>
      </c>
      <c r="K61" s="35">
        <v>0.49</v>
      </c>
      <c r="L61" s="35">
        <v>0.49</v>
      </c>
      <c r="M61" s="35">
        <v>0.53749999999999998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"/>
      <c r="BF61" s="1"/>
      <c r="BG61" s="1"/>
      <c r="BH61" s="1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</row>
    <row r="62" spans="1:73" x14ac:dyDescent="0.25">
      <c r="A62" s="30">
        <v>43509</v>
      </c>
      <c r="B62" s="32"/>
      <c r="C62" s="32"/>
      <c r="D62" s="31"/>
      <c r="E62" s="44"/>
      <c r="F62" s="31"/>
      <c r="G62" s="31"/>
      <c r="H62" s="31"/>
      <c r="I62" s="33">
        <f>30*24*60*60*4</f>
        <v>10368000</v>
      </c>
      <c r="J62" s="33">
        <f>30*24*60*60*7</f>
        <v>18144000</v>
      </c>
      <c r="K62" s="33">
        <f>30*24*60*60*10</f>
        <v>25920000</v>
      </c>
      <c r="L62" s="33">
        <f>30*24*60*60*13</f>
        <v>33696000</v>
      </c>
      <c r="M62" s="33">
        <f>30*24*60*60*16</f>
        <v>41472000</v>
      </c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"/>
      <c r="BF62" s="1"/>
      <c r="BG62" s="1"/>
      <c r="BH62" s="1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</row>
    <row r="63" spans="1:73" x14ac:dyDescent="0.25">
      <c r="A63" s="30">
        <v>43509</v>
      </c>
      <c r="B63" s="32" t="s">
        <v>109</v>
      </c>
      <c r="C63" s="32" t="s">
        <v>110</v>
      </c>
      <c r="D63" s="31">
        <v>1978</v>
      </c>
      <c r="E63" s="44">
        <v>1</v>
      </c>
      <c r="F63" s="31" t="s">
        <v>24</v>
      </c>
      <c r="G63" s="31" t="s">
        <v>413</v>
      </c>
      <c r="H63" s="31" t="s">
        <v>343</v>
      </c>
      <c r="I63" s="35">
        <v>0.4425</v>
      </c>
      <c r="J63" s="35">
        <v>0.42499999999999999</v>
      </c>
      <c r="K63" s="35">
        <v>0.46750000000000003</v>
      </c>
      <c r="L63" s="35">
        <v>0.48249999999999998</v>
      </c>
      <c r="M63" s="35">
        <v>0.495</v>
      </c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"/>
      <c r="BF63" s="1"/>
      <c r="BG63" s="1"/>
      <c r="BH63" s="1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</row>
    <row r="64" spans="1:73" x14ac:dyDescent="0.25">
      <c r="A64" s="30">
        <v>43509</v>
      </c>
      <c r="B64" s="32"/>
      <c r="C64" s="32"/>
      <c r="D64" s="31"/>
      <c r="E64" s="44"/>
      <c r="F64" s="31"/>
      <c r="G64" s="31"/>
      <c r="H64" s="31"/>
      <c r="I64" s="33">
        <f>30*24*60*60*4</f>
        <v>10368000</v>
      </c>
      <c r="J64" s="33">
        <f>30*24*60*60*7</f>
        <v>18144000</v>
      </c>
      <c r="K64" s="33">
        <f>30*24*60*60*10</f>
        <v>25920000</v>
      </c>
      <c r="L64" s="33">
        <f>30*24*60*60*13</f>
        <v>33696000</v>
      </c>
      <c r="M64" s="33">
        <f>30*24*60*60*16</f>
        <v>41472000</v>
      </c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"/>
      <c r="BF64" s="1"/>
      <c r="BG64" s="1"/>
      <c r="BH64" s="1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</row>
    <row r="65" spans="1:73" x14ac:dyDescent="0.25">
      <c r="A65" s="30">
        <v>43509</v>
      </c>
      <c r="B65" s="32" t="s">
        <v>109</v>
      </c>
      <c r="C65" s="32" t="s">
        <v>110</v>
      </c>
      <c r="D65" s="31">
        <v>1978</v>
      </c>
      <c r="E65" s="44">
        <v>1</v>
      </c>
      <c r="F65" s="31" t="s">
        <v>24</v>
      </c>
      <c r="G65" s="31" t="s">
        <v>414</v>
      </c>
      <c r="H65" s="31" t="s">
        <v>343</v>
      </c>
      <c r="I65" s="35">
        <v>0.34</v>
      </c>
      <c r="J65" s="35">
        <v>0.5033333333333333</v>
      </c>
      <c r="K65" s="35">
        <v>0.35666666666666669</v>
      </c>
      <c r="L65" s="35">
        <v>0.41666666666666669</v>
      </c>
      <c r="M65" s="35">
        <v>0.51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"/>
      <c r="BF65" s="1"/>
      <c r="BG65" s="1"/>
      <c r="BH65" s="1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6" spans="1:73" x14ac:dyDescent="0.25">
      <c r="A66" s="30">
        <v>43509</v>
      </c>
      <c r="B66" s="32"/>
      <c r="C66" s="32"/>
      <c r="D66" s="31"/>
      <c r="E66" s="44"/>
      <c r="F66" s="31"/>
      <c r="G66" s="31"/>
      <c r="H66" s="31"/>
      <c r="I66" s="35">
        <v>74</v>
      </c>
      <c r="J66" s="33">
        <f>60</f>
        <v>60</v>
      </c>
      <c r="K66" s="33">
        <f>5*60</f>
        <v>300</v>
      </c>
      <c r="L66" s="33">
        <f>30*60</f>
        <v>1800</v>
      </c>
      <c r="M66" s="33">
        <f>3600*24</f>
        <v>86400</v>
      </c>
      <c r="N66" s="18" t="s">
        <v>312</v>
      </c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"/>
      <c r="BF66" s="1"/>
      <c r="BG66" s="1"/>
      <c r="BH66" s="1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</row>
    <row r="67" spans="1:73" x14ac:dyDescent="0.25">
      <c r="A67" s="30">
        <v>43509</v>
      </c>
      <c r="B67" s="32" t="s">
        <v>53</v>
      </c>
      <c r="C67" s="32" t="s">
        <v>54</v>
      </c>
      <c r="D67" s="31">
        <v>1968</v>
      </c>
      <c r="E67" s="44">
        <v>1</v>
      </c>
      <c r="F67" s="31" t="s">
        <v>32</v>
      </c>
      <c r="G67" s="31" t="s">
        <v>418</v>
      </c>
      <c r="H67" s="31" t="s">
        <v>174</v>
      </c>
      <c r="I67" s="35">
        <v>0.84299999999999997</v>
      </c>
      <c r="J67" s="35">
        <v>0.66400000000000003</v>
      </c>
      <c r="K67" s="35">
        <v>0.63600000000000001</v>
      </c>
      <c r="L67" s="35">
        <v>0.5</v>
      </c>
      <c r="M67" s="35">
        <v>0.5</v>
      </c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"/>
      <c r="BF67" s="1"/>
      <c r="BG67" s="1"/>
      <c r="BH67" s="1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</row>
    <row r="68" spans="1:73" x14ac:dyDescent="0.25">
      <c r="A68" s="30">
        <v>43509</v>
      </c>
      <c r="B68" s="32"/>
      <c r="C68" s="32"/>
      <c r="D68" s="31"/>
      <c r="E68" s="44"/>
      <c r="F68" s="31"/>
      <c r="G68" s="31"/>
      <c r="H68" s="31"/>
      <c r="I68" s="35">
        <v>74</v>
      </c>
      <c r="J68" s="33">
        <f>60</f>
        <v>60</v>
      </c>
      <c r="K68" s="33">
        <f>5*60</f>
        <v>300</v>
      </c>
      <c r="L68" s="33">
        <f>30*60</f>
        <v>1800</v>
      </c>
      <c r="M68" s="33">
        <f>3600*24</f>
        <v>86400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"/>
      <c r="BF68" s="1"/>
      <c r="BG68" s="1"/>
      <c r="BH68" s="1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</row>
    <row r="69" spans="1:73" x14ac:dyDescent="0.25">
      <c r="A69" s="30">
        <v>43509</v>
      </c>
      <c r="B69" s="32" t="s">
        <v>53</v>
      </c>
      <c r="C69" s="32" t="s">
        <v>54</v>
      </c>
      <c r="D69" s="31">
        <v>1968</v>
      </c>
      <c r="E69" s="44">
        <v>1</v>
      </c>
      <c r="F69" s="31" t="s">
        <v>32</v>
      </c>
      <c r="G69" s="31" t="s">
        <v>419</v>
      </c>
      <c r="H69" s="31" t="s">
        <v>174</v>
      </c>
      <c r="I69" s="35">
        <v>0.5</v>
      </c>
      <c r="J69" s="35">
        <v>0.56399999999999995</v>
      </c>
      <c r="K69" s="35">
        <v>0.59299999999999997</v>
      </c>
      <c r="L69" s="35">
        <v>0.72899999999999998</v>
      </c>
      <c r="M69" s="35">
        <v>0.8</v>
      </c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"/>
      <c r="BF69" s="1"/>
      <c r="BG69" s="1"/>
      <c r="BH69" s="1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</row>
    <row r="70" spans="1:73" x14ac:dyDescent="0.25">
      <c r="A70" s="30">
        <v>43895</v>
      </c>
      <c r="B70" s="29"/>
      <c r="C70" s="29"/>
      <c r="D70" s="43"/>
      <c r="E70" s="44"/>
      <c r="F70" s="31"/>
      <c r="G70" s="55"/>
      <c r="H70" s="31"/>
      <c r="I70" s="33">
        <v>157680000</v>
      </c>
      <c r="J70" s="33">
        <v>315360000</v>
      </c>
      <c r="K70" s="33">
        <v>473040000</v>
      </c>
      <c r="L70" s="33">
        <v>630720000</v>
      </c>
      <c r="M70" s="33">
        <v>788400000</v>
      </c>
      <c r="N70" s="33">
        <v>946080000</v>
      </c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"/>
      <c r="BF70" s="1"/>
      <c r="BG70" s="1"/>
      <c r="BH70" s="1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x14ac:dyDescent="0.25">
      <c r="A71" s="30">
        <v>43895</v>
      </c>
      <c r="B71" s="32" t="s">
        <v>211</v>
      </c>
      <c r="C71" s="32" t="s">
        <v>36</v>
      </c>
      <c r="D71" s="31">
        <v>1995</v>
      </c>
      <c r="E71" s="44">
        <v>1</v>
      </c>
      <c r="F71" s="31" t="s">
        <v>17</v>
      </c>
      <c r="G71" s="31" t="s">
        <v>197</v>
      </c>
      <c r="H71" s="31" t="s">
        <v>206</v>
      </c>
      <c r="I71" s="35">
        <v>0.73</v>
      </c>
      <c r="J71" s="35">
        <v>0.71</v>
      </c>
      <c r="K71" s="35">
        <v>0.74</v>
      </c>
      <c r="L71" s="35">
        <v>0.69</v>
      </c>
      <c r="M71" s="35">
        <v>0.81</v>
      </c>
      <c r="N71" s="35">
        <v>0.76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"/>
      <c r="BF71" s="1"/>
      <c r="BG71" s="1"/>
      <c r="BH71" s="1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x14ac:dyDescent="0.25">
      <c r="A72" s="27">
        <v>43509</v>
      </c>
      <c r="B72" s="1"/>
      <c r="C72" s="1"/>
      <c r="D72" s="23"/>
      <c r="E72" s="38"/>
      <c r="F72" s="23"/>
      <c r="G72" s="23"/>
      <c r="H72" s="23"/>
      <c r="I72" s="12">
        <v>15</v>
      </c>
      <c r="J72" s="12">
        <f>60*1</f>
        <v>60</v>
      </c>
      <c r="K72" s="12">
        <f>60*2</f>
        <v>120</v>
      </c>
      <c r="L72" s="12">
        <f>60*5</f>
        <v>300</v>
      </c>
      <c r="M72" s="12">
        <f>60*10</f>
        <v>600</v>
      </c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"/>
      <c r="BF72" s="1"/>
      <c r="BG72" s="1"/>
      <c r="BH72" s="1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3" spans="1:73" x14ac:dyDescent="0.25">
      <c r="A73" s="27">
        <v>43509</v>
      </c>
      <c r="B73" s="1" t="s">
        <v>152</v>
      </c>
      <c r="C73" s="1" t="s">
        <v>28</v>
      </c>
      <c r="D73" s="23">
        <v>1999</v>
      </c>
      <c r="E73" s="38">
        <v>1</v>
      </c>
      <c r="F73" s="23" t="s">
        <v>143</v>
      </c>
      <c r="G73" s="23" t="s">
        <v>197</v>
      </c>
      <c r="H73" s="23" t="s">
        <v>43</v>
      </c>
      <c r="I73" s="18">
        <v>0.372</v>
      </c>
      <c r="J73" s="18">
        <v>0.41599999999999998</v>
      </c>
      <c r="K73" s="18">
        <v>0.38800000000000001</v>
      </c>
      <c r="L73" s="18">
        <v>0.374</v>
      </c>
      <c r="M73" s="18">
        <v>0.35199999999999998</v>
      </c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"/>
      <c r="BF73" s="1"/>
      <c r="BG73" s="1"/>
      <c r="BH73" s="1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</row>
    <row r="74" spans="1:73" x14ac:dyDescent="0.25">
      <c r="A74" s="27">
        <v>43896</v>
      </c>
      <c r="B74" s="1"/>
      <c r="C74" s="1"/>
      <c r="D74" s="23"/>
      <c r="E74" s="38"/>
      <c r="F74" s="23"/>
      <c r="G74" s="23"/>
      <c r="H74" s="23"/>
      <c r="I74" s="12">
        <v>157680000</v>
      </c>
      <c r="J74" s="12">
        <v>473040000</v>
      </c>
      <c r="K74" s="12">
        <v>788400000</v>
      </c>
      <c r="L74" s="12">
        <v>1103760000</v>
      </c>
      <c r="M74" s="12">
        <v>1419120000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"/>
      <c r="BF74" s="1"/>
      <c r="BG74" s="1"/>
      <c r="BH74" s="1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</row>
    <row r="75" spans="1:73" x14ac:dyDescent="0.25">
      <c r="A75" s="27">
        <v>43896</v>
      </c>
      <c r="B75" s="1" t="s">
        <v>214</v>
      </c>
      <c r="C75" s="1" t="s">
        <v>215</v>
      </c>
      <c r="D75" s="23">
        <v>1989</v>
      </c>
      <c r="E75" s="38">
        <v>1</v>
      </c>
      <c r="F75" s="23" t="s">
        <v>22</v>
      </c>
      <c r="G75" s="23" t="s">
        <v>197</v>
      </c>
      <c r="H75" s="23" t="s">
        <v>208</v>
      </c>
      <c r="I75" s="18">
        <v>0.71</v>
      </c>
      <c r="J75" s="18">
        <v>0.55000000000000004</v>
      </c>
      <c r="K75" s="18">
        <v>0.6</v>
      </c>
      <c r="L75" s="18">
        <v>0.53</v>
      </c>
      <c r="M75" s="18">
        <v>0.8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"/>
      <c r="BF75" s="1"/>
      <c r="BG75" s="1"/>
      <c r="BH75" s="1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</row>
    <row r="76" spans="1:73" x14ac:dyDescent="0.25">
      <c r="A76" s="27">
        <v>43509</v>
      </c>
      <c r="B76" s="1"/>
      <c r="C76" s="1"/>
      <c r="D76" s="23"/>
      <c r="E76" s="38"/>
      <c r="F76" s="23"/>
      <c r="G76" s="23"/>
      <c r="H76" s="23"/>
      <c r="I76" s="12">
        <f>2*60</f>
        <v>120</v>
      </c>
      <c r="J76" s="12">
        <f>20*60</f>
        <v>1200</v>
      </c>
      <c r="K76" s="12">
        <f>45*60</f>
        <v>2700</v>
      </c>
      <c r="L76" s="12">
        <f>24*3600*1</f>
        <v>86400</v>
      </c>
      <c r="M76" s="12">
        <f>24*3600*7</f>
        <v>604800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"/>
      <c r="BF76" s="1"/>
      <c r="BG76" s="1"/>
      <c r="BH76" s="1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</row>
    <row r="77" spans="1:73" x14ac:dyDescent="0.25">
      <c r="A77" s="27">
        <v>43509</v>
      </c>
      <c r="B77" s="1" t="s">
        <v>74</v>
      </c>
      <c r="C77" s="1" t="s">
        <v>15</v>
      </c>
      <c r="D77" s="23">
        <v>1963</v>
      </c>
      <c r="E77" s="38">
        <v>1</v>
      </c>
      <c r="F77" s="23" t="s">
        <v>32</v>
      </c>
      <c r="G77" s="23" t="s">
        <v>422</v>
      </c>
      <c r="H77" s="23" t="s">
        <v>61</v>
      </c>
      <c r="I77" s="18">
        <v>0.08</v>
      </c>
      <c r="J77" s="18">
        <v>0.2</v>
      </c>
      <c r="K77" s="18">
        <v>0.38</v>
      </c>
      <c r="L77" s="18">
        <v>0.38</v>
      </c>
      <c r="M77" s="18">
        <v>0.41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"/>
      <c r="BF77" s="1"/>
      <c r="BG77" s="1"/>
      <c r="BH77" s="1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</row>
    <row r="78" spans="1:73" x14ac:dyDescent="0.25">
      <c r="A78" s="30">
        <v>43976</v>
      </c>
      <c r="B78" s="32"/>
      <c r="C78" s="32"/>
      <c r="D78" s="31"/>
      <c r="E78" s="44"/>
      <c r="F78" s="31"/>
      <c r="G78" s="31"/>
      <c r="H78" s="31"/>
      <c r="I78" s="33">
        <v>0.01</v>
      </c>
      <c r="J78" s="33">
        <v>2</v>
      </c>
      <c r="K78" s="33">
        <v>5</v>
      </c>
      <c r="L78" s="33">
        <v>10</v>
      </c>
      <c r="M78" s="33">
        <v>20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"/>
      <c r="BF78" s="1"/>
      <c r="BG78" s="1"/>
      <c r="BH78" s="1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</row>
    <row r="79" spans="1:73" x14ac:dyDescent="0.25">
      <c r="A79" s="30">
        <v>43976</v>
      </c>
      <c r="B79" s="32" t="s">
        <v>498</v>
      </c>
      <c r="C79" s="32" t="s">
        <v>36</v>
      </c>
      <c r="D79" s="31">
        <v>1985</v>
      </c>
      <c r="E79" s="44">
        <v>1</v>
      </c>
      <c r="F79" s="31" t="s">
        <v>32</v>
      </c>
      <c r="G79" s="31" t="s">
        <v>197</v>
      </c>
      <c r="H79" s="31" t="s">
        <v>12</v>
      </c>
      <c r="I79" s="35">
        <v>1</v>
      </c>
      <c r="J79" s="35">
        <v>0.76617976268333332</v>
      </c>
      <c r="K79" s="35">
        <v>0.60472593305246936</v>
      </c>
      <c r="L79" s="35">
        <v>0.449619026355568</v>
      </c>
      <c r="M79" s="35">
        <v>0.40873733003990936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"/>
      <c r="BF79" s="1"/>
      <c r="BG79" s="1"/>
      <c r="BH79" s="1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</row>
    <row r="80" spans="1:73" x14ac:dyDescent="0.25">
      <c r="A80" s="30">
        <v>43509</v>
      </c>
      <c r="B80" s="32"/>
      <c r="C80" s="32"/>
      <c r="D80" s="31"/>
      <c r="E80" s="44"/>
      <c r="F80" s="31"/>
      <c r="G80" s="31"/>
      <c r="H80" s="31"/>
      <c r="I80" s="33">
        <f>30*24*60*60*((5/60)/24)/30</f>
        <v>300</v>
      </c>
      <c r="J80" s="33">
        <f>30*24*60*60*(1/24)/30</f>
        <v>3600</v>
      </c>
      <c r="K80" s="33">
        <f>30*24*60*60*1/30</f>
        <v>86400</v>
      </c>
      <c r="L80" s="33">
        <f>30*24*60*60*7/30</f>
        <v>604800</v>
      </c>
      <c r="M80" s="33">
        <f>30*24*60*60*1</f>
        <v>2592000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"/>
      <c r="BF80" s="1"/>
      <c r="BG80" s="1"/>
      <c r="BH80" s="1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</row>
    <row r="81" spans="1:73" x14ac:dyDescent="0.25">
      <c r="A81" s="30">
        <v>43509</v>
      </c>
      <c r="B81" s="32" t="s">
        <v>113</v>
      </c>
      <c r="C81" s="32" t="s">
        <v>101</v>
      </c>
      <c r="D81" s="31">
        <v>1971</v>
      </c>
      <c r="E81" s="44">
        <v>1</v>
      </c>
      <c r="F81" s="31" t="s">
        <v>22</v>
      </c>
      <c r="G81" s="31" t="s">
        <v>422</v>
      </c>
      <c r="H81" s="31" t="s">
        <v>12</v>
      </c>
      <c r="I81" s="35">
        <v>0.19</v>
      </c>
      <c r="J81" s="35">
        <v>0.21</v>
      </c>
      <c r="K81" s="35">
        <v>0.26</v>
      </c>
      <c r="L81" s="35">
        <v>0.25</v>
      </c>
      <c r="M81" s="35">
        <v>0.23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"/>
      <c r="BF81" s="1"/>
      <c r="BG81" s="1"/>
      <c r="BH81" s="1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1:73" x14ac:dyDescent="0.25">
      <c r="A82" s="27">
        <v>44041</v>
      </c>
      <c r="B82" s="1"/>
      <c r="C82" s="1"/>
      <c r="D82" s="23"/>
      <c r="E82" s="38"/>
      <c r="F82" s="23"/>
      <c r="G82" s="23"/>
      <c r="H82" s="23"/>
      <c r="I82" s="12">
        <v>120</v>
      </c>
      <c r="J82" s="12">
        <f>60*20</f>
        <v>1200</v>
      </c>
      <c r="K82" s="12">
        <f>60*60*24</f>
        <v>86400</v>
      </c>
      <c r="L82" s="12">
        <f>60*60*24*2</f>
        <v>172800</v>
      </c>
      <c r="M82" s="12">
        <f>60*60*24*7</f>
        <v>604800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"/>
      <c r="BF82" s="1"/>
      <c r="BG82" s="1"/>
      <c r="BH82" s="1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1:73" x14ac:dyDescent="0.25">
      <c r="A83" s="27">
        <v>44041</v>
      </c>
      <c r="B83" s="1" t="s">
        <v>530</v>
      </c>
      <c r="C83" s="1" t="s">
        <v>531</v>
      </c>
      <c r="D83" s="23">
        <v>1978</v>
      </c>
      <c r="E83" s="38">
        <v>3</v>
      </c>
      <c r="F83" s="23" t="s">
        <v>25</v>
      </c>
      <c r="G83" s="23" t="s">
        <v>535</v>
      </c>
      <c r="H83" s="23" t="s">
        <v>186</v>
      </c>
      <c r="I83" s="86">
        <v>0.37723323081060101</v>
      </c>
      <c r="J83" s="86">
        <v>0.421783895527655</v>
      </c>
      <c r="K83" s="86">
        <v>0.45845678078623098</v>
      </c>
      <c r="L83" s="86">
        <v>0.42133615691019999</v>
      </c>
      <c r="M83" s="86">
        <v>0.53946789021664199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"/>
      <c r="BF83" s="1"/>
      <c r="BG83" s="1"/>
      <c r="BH83" s="1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spans="1:73" x14ac:dyDescent="0.25">
      <c r="A84" s="27">
        <v>44041</v>
      </c>
      <c r="B84" s="1"/>
      <c r="C84" s="1"/>
      <c r="D84" s="23"/>
      <c r="E84" s="38"/>
      <c r="F84" s="23"/>
      <c r="G84" s="23"/>
      <c r="H84" s="23"/>
      <c r="I84" s="12">
        <v>120</v>
      </c>
      <c r="J84" s="12">
        <f>60*20</f>
        <v>1200</v>
      </c>
      <c r="K84" s="12">
        <f>60*60*24</f>
        <v>86400</v>
      </c>
      <c r="L84" s="12">
        <f>60*60*24*2</f>
        <v>172800</v>
      </c>
      <c r="M84" s="12">
        <f>60*60*24*7</f>
        <v>604800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"/>
      <c r="BF84" s="1"/>
      <c r="BG84" s="1"/>
      <c r="BH84" s="1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</row>
    <row r="85" spans="1:73" x14ac:dyDescent="0.25">
      <c r="A85" s="27">
        <v>44041</v>
      </c>
      <c r="B85" s="1" t="s">
        <v>530</v>
      </c>
      <c r="C85" s="1" t="s">
        <v>531</v>
      </c>
      <c r="D85" s="23">
        <v>1978</v>
      </c>
      <c r="E85" s="38">
        <v>3</v>
      </c>
      <c r="F85" s="23" t="s">
        <v>25</v>
      </c>
      <c r="G85" s="23" t="s">
        <v>539</v>
      </c>
      <c r="H85" s="23" t="s">
        <v>186</v>
      </c>
      <c r="I85" s="86">
        <v>0.38013514451185698</v>
      </c>
      <c r="J85" s="86">
        <v>0.42069940944376599</v>
      </c>
      <c r="K85" s="86">
        <v>0.381075015754819</v>
      </c>
      <c r="L85" s="86">
        <v>0.28304249096295903</v>
      </c>
      <c r="M85" s="86">
        <v>0.18227399794117899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"/>
      <c r="BF85" s="1"/>
      <c r="BG85" s="1"/>
      <c r="BH85" s="1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</row>
    <row r="86" spans="1:73" x14ac:dyDescent="0.25">
      <c r="A86" s="30">
        <v>43509</v>
      </c>
      <c r="B86" s="32"/>
      <c r="C86" s="32"/>
      <c r="D86" s="31"/>
      <c r="E86" s="44"/>
      <c r="F86" s="31"/>
      <c r="G86" s="31"/>
      <c r="H86" s="31"/>
      <c r="I86" s="33">
        <f>30*24*60*60*0.5</f>
        <v>1296000</v>
      </c>
      <c r="J86" s="33">
        <f>30*24*60*60*1</f>
        <v>2592000</v>
      </c>
      <c r="K86" s="33">
        <f>30*24*60*60*1.5</f>
        <v>3888000</v>
      </c>
      <c r="L86" s="33">
        <f>30*24*60*60*2</f>
        <v>5184000</v>
      </c>
      <c r="M86" s="33">
        <f>30*24*60*60*2.5</f>
        <v>6480000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"/>
      <c r="BF86" s="1"/>
      <c r="BG86" s="1"/>
      <c r="BH86" s="1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</row>
    <row r="87" spans="1:73" x14ac:dyDescent="0.25">
      <c r="A87" s="30">
        <v>43509</v>
      </c>
      <c r="B87" s="32" t="s">
        <v>477</v>
      </c>
      <c r="C87" s="32" t="s">
        <v>28</v>
      </c>
      <c r="D87" s="31">
        <v>1988</v>
      </c>
      <c r="E87" s="44">
        <v>2</v>
      </c>
      <c r="F87" s="31" t="s">
        <v>20</v>
      </c>
      <c r="G87" s="31"/>
      <c r="H87" s="31" t="s">
        <v>190</v>
      </c>
      <c r="I87" s="35">
        <v>0.8</v>
      </c>
      <c r="J87" s="35">
        <v>0.68</v>
      </c>
      <c r="K87" s="35">
        <v>0.72</v>
      </c>
      <c r="L87" s="35">
        <v>0.57999999999999996</v>
      </c>
      <c r="M87" s="35">
        <v>0.61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"/>
      <c r="BF87" s="1"/>
      <c r="BG87" s="1"/>
      <c r="BH87" s="1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</row>
    <row r="88" spans="1:73" x14ac:dyDescent="0.25">
      <c r="A88" s="30">
        <v>43896</v>
      </c>
      <c r="B88" s="32"/>
      <c r="C88" s="32"/>
      <c r="D88" s="31"/>
      <c r="E88" s="44"/>
      <c r="F88" s="31"/>
      <c r="G88" s="31"/>
      <c r="H88" s="31"/>
      <c r="I88" s="33">
        <v>94608000</v>
      </c>
      <c r="J88" s="33">
        <v>409968000</v>
      </c>
      <c r="K88" s="33">
        <v>725328000</v>
      </c>
      <c r="L88" s="33">
        <v>1040688000</v>
      </c>
      <c r="M88" s="33">
        <v>1324512000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"/>
      <c r="BF88" s="1"/>
      <c r="BG88" s="1"/>
      <c r="BH88" s="1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</row>
    <row r="89" spans="1:73" x14ac:dyDescent="0.25">
      <c r="A89" s="30">
        <v>43896</v>
      </c>
      <c r="B89" s="32" t="s">
        <v>217</v>
      </c>
      <c r="C89" s="32" t="s">
        <v>218</v>
      </c>
      <c r="D89" s="31">
        <v>1993</v>
      </c>
      <c r="E89" s="44">
        <v>1</v>
      </c>
      <c r="F89" s="31" t="s">
        <v>17</v>
      </c>
      <c r="G89" s="31" t="s">
        <v>197</v>
      </c>
      <c r="H89" s="31" t="s">
        <v>208</v>
      </c>
      <c r="I89" s="70">
        <v>0.75</v>
      </c>
      <c r="J89" s="82">
        <v>0.95</v>
      </c>
      <c r="K89" s="82">
        <v>1</v>
      </c>
      <c r="L89" s="82">
        <v>0.95</v>
      </c>
      <c r="M89" s="82">
        <v>0.95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"/>
      <c r="BF89" s="1"/>
      <c r="BG89" s="1"/>
      <c r="BH89" s="1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</row>
    <row r="90" spans="1:73" x14ac:dyDescent="0.25">
      <c r="A90" s="27">
        <v>43902</v>
      </c>
      <c r="B90" s="1"/>
      <c r="C90" s="1"/>
      <c r="D90" s="23"/>
      <c r="E90" s="38"/>
      <c r="F90" s="23"/>
      <c r="G90" s="23"/>
      <c r="H90" s="23"/>
      <c r="I90" s="18">
        <v>0.01</v>
      </c>
      <c r="J90" s="12">
        <v>5</v>
      </c>
      <c r="K90" s="12">
        <v>10</v>
      </c>
      <c r="L90" s="12">
        <v>15</v>
      </c>
      <c r="M90" s="12">
        <v>30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"/>
      <c r="BF90" s="1"/>
      <c r="BG90" s="1"/>
      <c r="BH90" s="1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</row>
    <row r="91" spans="1:73" x14ac:dyDescent="0.25">
      <c r="A91" s="27">
        <v>43902</v>
      </c>
      <c r="B91" s="1" t="s">
        <v>275</v>
      </c>
      <c r="C91" s="1" t="s">
        <v>215</v>
      </c>
      <c r="D91" s="23">
        <v>1988</v>
      </c>
      <c r="E91" s="38">
        <v>1</v>
      </c>
      <c r="F91" s="23" t="s">
        <v>276</v>
      </c>
      <c r="G91" s="23" t="s">
        <v>197</v>
      </c>
      <c r="H91" s="22" t="s">
        <v>12</v>
      </c>
      <c r="I91" s="18">
        <v>1</v>
      </c>
      <c r="J91" s="18">
        <v>0.8</v>
      </c>
      <c r="K91" s="18">
        <v>0.73</v>
      </c>
      <c r="L91" s="18">
        <v>0.62</v>
      </c>
      <c r="M91" s="18">
        <v>0.51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"/>
      <c r="BF91" s="1"/>
      <c r="BG91" s="1"/>
      <c r="BH91" s="1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</row>
    <row r="92" spans="1:73" x14ac:dyDescent="0.25">
      <c r="A92" s="27">
        <v>43509</v>
      </c>
      <c r="B92" s="1"/>
      <c r="C92" s="1"/>
      <c r="D92" s="23"/>
      <c r="E92" s="38"/>
      <c r="F92" s="23"/>
      <c r="G92" s="23"/>
      <c r="H92" s="23"/>
      <c r="I92" s="18">
        <v>0.01</v>
      </c>
      <c r="J92" s="12">
        <v>3</v>
      </c>
      <c r="K92" s="12">
        <v>6</v>
      </c>
      <c r="L92" s="12">
        <v>9</v>
      </c>
      <c r="M92" s="12">
        <v>12</v>
      </c>
      <c r="N92" s="12">
        <v>18</v>
      </c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"/>
      <c r="BF92" s="1"/>
      <c r="BG92" s="1"/>
      <c r="BH92" s="1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</row>
    <row r="93" spans="1:73" x14ac:dyDescent="0.25">
      <c r="A93" s="27">
        <v>43509</v>
      </c>
      <c r="B93" s="1" t="s">
        <v>155</v>
      </c>
      <c r="C93" s="1" t="s">
        <v>15</v>
      </c>
      <c r="D93" s="23">
        <v>1961</v>
      </c>
      <c r="E93" s="38">
        <v>1</v>
      </c>
      <c r="F93" s="23" t="s">
        <v>17</v>
      </c>
      <c r="G93" s="23" t="s">
        <v>273</v>
      </c>
      <c r="H93" s="23" t="s">
        <v>273</v>
      </c>
      <c r="I93" s="18">
        <v>0.94</v>
      </c>
      <c r="J93" s="18">
        <v>0.77</v>
      </c>
      <c r="K93" s="18">
        <v>0.4</v>
      </c>
      <c r="L93" s="18">
        <v>0.26</v>
      </c>
      <c r="M93" s="18">
        <v>0.24</v>
      </c>
      <c r="N93" s="18">
        <v>0.16</v>
      </c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"/>
      <c r="BF93" s="1"/>
      <c r="BG93" s="1"/>
      <c r="BH93" s="1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</row>
    <row r="94" spans="1:73" x14ac:dyDescent="0.25">
      <c r="A94" s="27">
        <v>43509</v>
      </c>
      <c r="B94" s="1"/>
      <c r="C94" s="1"/>
      <c r="D94" s="23"/>
      <c r="E94" s="38"/>
      <c r="F94" s="23"/>
      <c r="G94" s="23"/>
      <c r="H94" s="23"/>
      <c r="I94" s="18">
        <v>0.01</v>
      </c>
      <c r="J94" s="12">
        <v>3</v>
      </c>
      <c r="K94" s="12">
        <v>6</v>
      </c>
      <c r="L94" s="12">
        <v>9</v>
      </c>
      <c r="M94" s="12">
        <v>12</v>
      </c>
      <c r="N94" s="12">
        <v>18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"/>
      <c r="BF94" s="1"/>
      <c r="BG94" s="1"/>
      <c r="BH94" s="1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</row>
    <row r="95" spans="1:73" x14ac:dyDescent="0.25">
      <c r="A95" s="27">
        <v>43509</v>
      </c>
      <c r="B95" s="1" t="s">
        <v>155</v>
      </c>
      <c r="C95" s="1" t="s">
        <v>15</v>
      </c>
      <c r="D95" s="23">
        <v>1961</v>
      </c>
      <c r="E95" s="38">
        <v>1</v>
      </c>
      <c r="F95" s="23" t="s">
        <v>17</v>
      </c>
      <c r="G95" s="23" t="s">
        <v>12</v>
      </c>
      <c r="H95" s="23" t="s">
        <v>12</v>
      </c>
      <c r="I95" s="18">
        <v>0.98</v>
      </c>
      <c r="J95" s="18">
        <v>0.99</v>
      </c>
      <c r="K95" s="18">
        <v>0.96</v>
      </c>
      <c r="L95" s="18">
        <v>0.91</v>
      </c>
      <c r="M95" s="18">
        <v>0.86</v>
      </c>
      <c r="N95" s="18">
        <v>0.84</v>
      </c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"/>
      <c r="BF95" s="1"/>
      <c r="BG95" s="1"/>
      <c r="BH95" s="1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</row>
    <row r="96" spans="1:73" x14ac:dyDescent="0.25">
      <c r="A96" s="27">
        <v>43509</v>
      </c>
      <c r="B96" s="1"/>
      <c r="C96" s="1"/>
      <c r="D96" s="23"/>
      <c r="E96" s="38"/>
      <c r="F96" s="23"/>
      <c r="G96" s="23"/>
      <c r="H96" s="23"/>
      <c r="I96" s="18">
        <v>0.01</v>
      </c>
      <c r="J96" s="12">
        <v>3</v>
      </c>
      <c r="K96" s="12">
        <v>6</v>
      </c>
      <c r="L96" s="12">
        <v>9</v>
      </c>
      <c r="M96" s="12">
        <v>12</v>
      </c>
      <c r="N96" s="12">
        <v>18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"/>
      <c r="BF96" s="1"/>
      <c r="BG96" s="1"/>
      <c r="BH96" s="1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</row>
    <row r="97" spans="1:73" x14ac:dyDescent="0.25">
      <c r="A97" s="27">
        <v>43509</v>
      </c>
      <c r="B97" s="1" t="s">
        <v>155</v>
      </c>
      <c r="C97" s="1" t="s">
        <v>15</v>
      </c>
      <c r="D97" s="23">
        <v>1961</v>
      </c>
      <c r="E97" s="38">
        <v>1</v>
      </c>
      <c r="F97" s="23" t="s">
        <v>17</v>
      </c>
      <c r="G97" s="23" t="s">
        <v>432</v>
      </c>
      <c r="H97" s="23" t="s">
        <v>432</v>
      </c>
      <c r="I97" s="18">
        <v>0.93</v>
      </c>
      <c r="J97" s="18">
        <v>0.73</v>
      </c>
      <c r="K97" s="18">
        <v>0.39</v>
      </c>
      <c r="L97" s="18">
        <v>0.3</v>
      </c>
      <c r="M97" s="18">
        <v>0.31</v>
      </c>
      <c r="N97" s="18">
        <v>0.23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"/>
      <c r="BF97" s="1"/>
      <c r="BG97" s="1"/>
      <c r="BH97" s="1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</row>
    <row r="98" spans="1:73" x14ac:dyDescent="0.25">
      <c r="A98" s="27">
        <v>43509</v>
      </c>
      <c r="B98" s="1"/>
      <c r="C98" s="1"/>
      <c r="D98" s="23"/>
      <c r="E98" s="38"/>
      <c r="F98" s="23"/>
      <c r="G98" s="23"/>
      <c r="H98" s="23"/>
      <c r="I98" s="18">
        <v>0.01</v>
      </c>
      <c r="J98" s="12">
        <v>3</v>
      </c>
      <c r="K98" s="12">
        <v>6</v>
      </c>
      <c r="L98" s="12">
        <v>9</v>
      </c>
      <c r="M98" s="12">
        <v>12</v>
      </c>
      <c r="N98" s="12">
        <v>18</v>
      </c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"/>
      <c r="BF98" s="1"/>
      <c r="BG98" s="1"/>
      <c r="BH98" s="1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</row>
    <row r="99" spans="1:73" x14ac:dyDescent="0.25">
      <c r="A99" s="27">
        <v>43509</v>
      </c>
      <c r="B99" s="1" t="s">
        <v>155</v>
      </c>
      <c r="C99" s="1" t="s">
        <v>15</v>
      </c>
      <c r="D99" s="23">
        <v>1961</v>
      </c>
      <c r="E99" s="38">
        <v>2</v>
      </c>
      <c r="F99" s="23" t="s">
        <v>20</v>
      </c>
      <c r="G99" s="23">
        <v>0</v>
      </c>
      <c r="H99" s="23" t="s">
        <v>12</v>
      </c>
      <c r="I99" s="18">
        <v>1</v>
      </c>
      <c r="J99" s="18">
        <v>1</v>
      </c>
      <c r="K99" s="18">
        <v>0.95</v>
      </c>
      <c r="L99" s="18">
        <v>0.94</v>
      </c>
      <c r="M99" s="18">
        <v>0.94</v>
      </c>
      <c r="N99" s="18">
        <v>0.91</v>
      </c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"/>
      <c r="BF99" s="1"/>
      <c r="BG99" s="1"/>
      <c r="BH99" s="1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</row>
    <row r="100" spans="1:73" x14ac:dyDescent="0.25">
      <c r="A100" s="27">
        <v>43509</v>
      </c>
      <c r="B100" s="1"/>
      <c r="C100" s="1"/>
      <c r="D100" s="23"/>
      <c r="E100" s="38"/>
      <c r="F100" s="23"/>
      <c r="G100" s="23"/>
      <c r="H100" s="23"/>
      <c r="I100" s="18">
        <v>0.01</v>
      </c>
      <c r="J100" s="12">
        <v>3</v>
      </c>
      <c r="K100" s="12">
        <v>6</v>
      </c>
      <c r="L100" s="12">
        <v>9</v>
      </c>
      <c r="M100" s="12">
        <v>12</v>
      </c>
      <c r="N100" s="12">
        <v>18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"/>
      <c r="BF100" s="1"/>
      <c r="BG100" s="1"/>
      <c r="BH100" s="1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</row>
    <row r="101" spans="1:73" x14ac:dyDescent="0.25">
      <c r="A101" s="27">
        <v>43509</v>
      </c>
      <c r="B101" s="1" t="s">
        <v>155</v>
      </c>
      <c r="C101" s="1" t="s">
        <v>15</v>
      </c>
      <c r="D101" s="23">
        <v>1961</v>
      </c>
      <c r="E101" s="38">
        <v>2</v>
      </c>
      <c r="F101" s="23" t="s">
        <v>20</v>
      </c>
      <c r="G101" s="23">
        <v>3</v>
      </c>
      <c r="H101" s="23" t="s">
        <v>12</v>
      </c>
      <c r="I101" s="18">
        <v>1</v>
      </c>
      <c r="J101" s="18">
        <v>0.96</v>
      </c>
      <c r="K101" s="18">
        <v>0.83</v>
      </c>
      <c r="L101" s="18">
        <v>0.84</v>
      </c>
      <c r="M101" s="18">
        <v>0.77</v>
      </c>
      <c r="N101" s="18">
        <v>0.82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"/>
      <c r="BF101" s="1"/>
      <c r="BG101" s="1"/>
      <c r="BH101" s="1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</row>
    <row r="102" spans="1:73" x14ac:dyDescent="0.25">
      <c r="A102" s="27">
        <v>43509</v>
      </c>
      <c r="B102" s="1"/>
      <c r="C102" s="1"/>
      <c r="D102" s="23"/>
      <c r="E102" s="38"/>
      <c r="F102" s="23"/>
      <c r="G102" s="23"/>
      <c r="H102" s="23"/>
      <c r="I102" s="18">
        <v>0.01</v>
      </c>
      <c r="J102" s="12">
        <v>3</v>
      </c>
      <c r="K102" s="12">
        <v>6</v>
      </c>
      <c r="L102" s="12">
        <v>9</v>
      </c>
      <c r="M102" s="12">
        <v>12</v>
      </c>
      <c r="N102" s="12">
        <v>18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"/>
      <c r="BF102" s="1"/>
      <c r="BG102" s="1"/>
      <c r="BH102" s="1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</row>
    <row r="103" spans="1:73" x14ac:dyDescent="0.25">
      <c r="A103" s="27">
        <v>43509</v>
      </c>
      <c r="B103" s="1" t="s">
        <v>155</v>
      </c>
      <c r="C103" s="1" t="s">
        <v>15</v>
      </c>
      <c r="D103" s="23">
        <v>1961</v>
      </c>
      <c r="E103" s="38">
        <v>2</v>
      </c>
      <c r="F103" s="23" t="s">
        <v>20</v>
      </c>
      <c r="G103" s="23">
        <v>6</v>
      </c>
      <c r="H103" s="23" t="s">
        <v>12</v>
      </c>
      <c r="I103" s="18">
        <v>0.99</v>
      </c>
      <c r="J103" s="18">
        <v>0.93</v>
      </c>
      <c r="K103" s="18">
        <v>0.9</v>
      </c>
      <c r="L103" s="18">
        <v>0.86</v>
      </c>
      <c r="M103" s="18">
        <v>0.83</v>
      </c>
      <c r="N103" s="18">
        <v>0.8</v>
      </c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"/>
      <c r="BF103" s="1"/>
      <c r="BG103" s="1"/>
      <c r="BH103" s="1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</row>
    <row r="104" spans="1:73" x14ac:dyDescent="0.25">
      <c r="A104" s="27">
        <v>43509</v>
      </c>
      <c r="B104" s="1"/>
      <c r="C104" s="1"/>
      <c r="D104" s="23"/>
      <c r="E104" s="38"/>
      <c r="F104" s="23"/>
      <c r="G104" s="23"/>
      <c r="H104" s="23"/>
      <c r="I104" s="18">
        <v>0.01</v>
      </c>
      <c r="J104" s="12">
        <v>3</v>
      </c>
      <c r="K104" s="12">
        <v>6</v>
      </c>
      <c r="L104" s="12">
        <v>9</v>
      </c>
      <c r="M104" s="12">
        <v>12</v>
      </c>
      <c r="N104" s="12">
        <v>18</v>
      </c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"/>
      <c r="BF104" s="1"/>
      <c r="BG104" s="1"/>
      <c r="BH104" s="1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</row>
    <row r="105" spans="1:73" x14ac:dyDescent="0.25">
      <c r="A105" s="27">
        <v>43509</v>
      </c>
      <c r="B105" s="1" t="s">
        <v>155</v>
      </c>
      <c r="C105" s="1" t="s">
        <v>15</v>
      </c>
      <c r="D105" s="23">
        <v>1961</v>
      </c>
      <c r="E105" s="38">
        <v>2</v>
      </c>
      <c r="F105" s="23" t="s">
        <v>20</v>
      </c>
      <c r="G105" s="23">
        <v>9</v>
      </c>
      <c r="H105" s="23" t="s">
        <v>12</v>
      </c>
      <c r="I105" s="18">
        <v>0.99</v>
      </c>
      <c r="J105" s="18">
        <v>0.95</v>
      </c>
      <c r="K105" s="18">
        <v>0.9</v>
      </c>
      <c r="L105" s="18">
        <v>0.85</v>
      </c>
      <c r="M105" s="18">
        <v>0.82</v>
      </c>
      <c r="N105" s="18">
        <v>0.83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"/>
      <c r="BF105" s="1"/>
      <c r="BG105" s="1"/>
      <c r="BH105" s="1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</row>
    <row r="106" spans="1:73" x14ac:dyDescent="0.25">
      <c r="A106" s="27">
        <v>43509</v>
      </c>
      <c r="B106" s="1"/>
      <c r="C106" s="1"/>
      <c r="D106" s="23"/>
      <c r="E106" s="38"/>
      <c r="F106" s="23"/>
      <c r="G106" s="23"/>
      <c r="H106" s="23"/>
      <c r="I106" s="18">
        <v>0.01</v>
      </c>
      <c r="J106" s="12">
        <v>3</v>
      </c>
      <c r="K106" s="12">
        <v>6</v>
      </c>
      <c r="L106" s="12">
        <v>9</v>
      </c>
      <c r="M106" s="12">
        <v>12</v>
      </c>
      <c r="N106" s="12">
        <v>18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"/>
      <c r="BF106" s="1"/>
      <c r="BG106" s="1"/>
      <c r="BH106" s="1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</row>
    <row r="107" spans="1:73" x14ac:dyDescent="0.25">
      <c r="A107" s="27">
        <v>43509</v>
      </c>
      <c r="B107" s="1" t="s">
        <v>155</v>
      </c>
      <c r="C107" s="1" t="s">
        <v>15</v>
      </c>
      <c r="D107" s="23">
        <v>1961</v>
      </c>
      <c r="E107" s="38">
        <v>2</v>
      </c>
      <c r="F107" s="23" t="s">
        <v>20</v>
      </c>
      <c r="G107" s="23">
        <v>12</v>
      </c>
      <c r="H107" s="23" t="s">
        <v>12</v>
      </c>
      <c r="I107" s="18">
        <v>0.97</v>
      </c>
      <c r="J107" s="18">
        <v>0.97</v>
      </c>
      <c r="K107" s="18">
        <v>0.87</v>
      </c>
      <c r="L107" s="18">
        <v>0.88</v>
      </c>
      <c r="M107" s="18">
        <v>0.86</v>
      </c>
      <c r="N107" s="18">
        <v>0.82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"/>
      <c r="BF107" s="1"/>
      <c r="BG107" s="1"/>
      <c r="BH107" s="1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</row>
    <row r="108" spans="1:73" x14ac:dyDescent="0.25">
      <c r="A108" s="27">
        <v>43509</v>
      </c>
      <c r="B108" s="1"/>
      <c r="C108" s="1"/>
      <c r="D108" s="23"/>
      <c r="E108" s="38"/>
      <c r="F108" s="23"/>
      <c r="G108" s="23"/>
      <c r="H108" s="23"/>
      <c r="I108" s="12">
        <v>3</v>
      </c>
      <c r="J108" s="12">
        <v>6</v>
      </c>
      <c r="K108" s="12">
        <v>9</v>
      </c>
      <c r="L108" s="12">
        <v>12</v>
      </c>
      <c r="M108" s="12">
        <v>15</v>
      </c>
      <c r="N108" s="12">
        <v>18</v>
      </c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"/>
      <c r="BF108" s="1"/>
      <c r="BG108" s="1"/>
      <c r="BH108" s="1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</row>
    <row r="109" spans="1:73" x14ac:dyDescent="0.25">
      <c r="A109" s="27">
        <v>43509</v>
      </c>
      <c r="B109" s="1" t="s">
        <v>21</v>
      </c>
      <c r="C109" s="1" t="s">
        <v>15</v>
      </c>
      <c r="D109" s="23">
        <v>1959</v>
      </c>
      <c r="E109" s="38">
        <v>1</v>
      </c>
      <c r="F109" s="23" t="s">
        <v>22</v>
      </c>
      <c r="G109" s="23"/>
      <c r="H109" s="23" t="s">
        <v>273</v>
      </c>
      <c r="I109" s="18">
        <v>0.53</v>
      </c>
      <c r="J109" s="18">
        <v>0.41</v>
      </c>
      <c r="K109" s="18">
        <v>0.24</v>
      </c>
      <c r="L109" s="18">
        <v>0.12</v>
      </c>
      <c r="M109" s="18">
        <v>0.09</v>
      </c>
      <c r="N109" s="18">
        <v>0.05</v>
      </c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"/>
      <c r="BF109" s="1"/>
      <c r="BG109" s="1"/>
      <c r="BH109" s="1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</row>
    <row r="110" spans="1:73" x14ac:dyDescent="0.25">
      <c r="A110" s="30">
        <v>43509</v>
      </c>
      <c r="B110" s="32"/>
      <c r="C110" s="32"/>
      <c r="D110" s="31"/>
      <c r="E110" s="44"/>
      <c r="F110" s="31"/>
      <c r="G110" s="31"/>
      <c r="H110" s="31"/>
      <c r="I110" s="33">
        <f>20*60</f>
        <v>1200</v>
      </c>
      <c r="J110" s="33">
        <f>60*60</f>
        <v>3600</v>
      </c>
      <c r="K110" s="33">
        <f>6*60*60</f>
        <v>21600</v>
      </c>
      <c r="L110" s="33">
        <f>2*24*60*60</f>
        <v>172800</v>
      </c>
      <c r="M110" s="33">
        <f>7*24*60*60</f>
        <v>604800</v>
      </c>
      <c r="N110" s="33">
        <f>21*24*60*60</f>
        <v>1814400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"/>
      <c r="BF110" s="1"/>
      <c r="BG110" s="1"/>
      <c r="BH110" s="1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</row>
    <row r="111" spans="1:73" x14ac:dyDescent="0.25">
      <c r="A111" s="30">
        <v>43509</v>
      </c>
      <c r="B111" s="32" t="s">
        <v>97</v>
      </c>
      <c r="C111" s="32" t="s">
        <v>50</v>
      </c>
      <c r="D111" s="31">
        <v>1983</v>
      </c>
      <c r="E111" s="44">
        <v>2</v>
      </c>
      <c r="F111" s="31" t="s">
        <v>32</v>
      </c>
      <c r="G111" s="31" t="s">
        <v>439</v>
      </c>
      <c r="H111" s="31" t="s">
        <v>190</v>
      </c>
      <c r="I111" s="35">
        <v>0.98</v>
      </c>
      <c r="J111" s="35">
        <v>1</v>
      </c>
      <c r="K111" s="35">
        <v>1</v>
      </c>
      <c r="L111" s="35">
        <v>0.93</v>
      </c>
      <c r="M111" s="35">
        <v>0.52</v>
      </c>
      <c r="N111" s="35">
        <v>0.56999999999999995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"/>
      <c r="BF111" s="1"/>
      <c r="BG111" s="1"/>
      <c r="BH111" s="1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</row>
    <row r="112" spans="1:73" x14ac:dyDescent="0.25">
      <c r="A112" s="30">
        <v>43509</v>
      </c>
      <c r="B112" s="32"/>
      <c r="C112" s="32"/>
      <c r="D112" s="31"/>
      <c r="E112" s="44"/>
      <c r="F112" s="31"/>
      <c r="G112" s="31"/>
      <c r="H112" s="31"/>
      <c r="I112" s="33">
        <f>20*60</f>
        <v>1200</v>
      </c>
      <c r="J112" s="33">
        <f>60*60</f>
        <v>3600</v>
      </c>
      <c r="K112" s="33">
        <f>6*60*60</f>
        <v>21600</v>
      </c>
      <c r="L112" s="33">
        <f>2*24*60*60</f>
        <v>172800</v>
      </c>
      <c r="M112" s="33">
        <f>7*24*60*60</f>
        <v>604800</v>
      </c>
      <c r="N112" s="33">
        <f>21*24*60*60</f>
        <v>1814400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"/>
      <c r="BF112" s="1"/>
      <c r="BG112" s="1"/>
      <c r="BH112" s="1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</row>
    <row r="113" spans="1:73" x14ac:dyDescent="0.25">
      <c r="A113" s="30">
        <v>43509</v>
      </c>
      <c r="B113" s="32" t="s">
        <v>97</v>
      </c>
      <c r="C113" s="32" t="s">
        <v>50</v>
      </c>
      <c r="D113" s="31">
        <v>1983</v>
      </c>
      <c r="E113" s="44">
        <v>2</v>
      </c>
      <c r="F113" s="31" t="s">
        <v>32</v>
      </c>
      <c r="G113" s="31" t="s">
        <v>440</v>
      </c>
      <c r="H113" s="31" t="s">
        <v>190</v>
      </c>
      <c r="I113" s="35">
        <v>1</v>
      </c>
      <c r="J113" s="35">
        <v>1</v>
      </c>
      <c r="K113" s="35">
        <v>0.92</v>
      </c>
      <c r="L113" s="35">
        <v>0.89</v>
      </c>
      <c r="M113" s="35">
        <v>0.59</v>
      </c>
      <c r="N113" s="35">
        <v>0.33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"/>
      <c r="BF113" s="1"/>
      <c r="BG113" s="1"/>
      <c r="BH113" s="1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</row>
    <row r="114" spans="1:73" x14ac:dyDescent="0.25">
      <c r="A114" s="30">
        <v>43509</v>
      </c>
      <c r="B114" s="32"/>
      <c r="C114" s="32"/>
      <c r="D114" s="31"/>
      <c r="E114" s="44"/>
      <c r="F114" s="31"/>
      <c r="G114" s="31"/>
      <c r="H114" s="31"/>
      <c r="I114" s="33">
        <f>20*60</f>
        <v>1200</v>
      </c>
      <c r="J114" s="33">
        <f>60*60</f>
        <v>3600</v>
      </c>
      <c r="K114" s="33">
        <f>6*60*60</f>
        <v>21600</v>
      </c>
      <c r="L114" s="33">
        <f>2*24*60*60</f>
        <v>172800</v>
      </c>
      <c r="M114" s="33">
        <f>7*24*60*60</f>
        <v>604800</v>
      </c>
      <c r="N114" s="33">
        <f>21*24*60*60</f>
        <v>1814400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"/>
      <c r="BF114" s="1"/>
      <c r="BG114" s="1"/>
      <c r="BH114" s="1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</row>
    <row r="115" spans="1:73" x14ac:dyDescent="0.25">
      <c r="A115" s="30">
        <v>43509</v>
      </c>
      <c r="B115" s="32" t="s">
        <v>97</v>
      </c>
      <c r="C115" s="32" t="s">
        <v>50</v>
      </c>
      <c r="D115" s="31">
        <v>1983</v>
      </c>
      <c r="E115" s="44">
        <v>2</v>
      </c>
      <c r="F115" s="31" t="s">
        <v>32</v>
      </c>
      <c r="G115" s="31" t="s">
        <v>441</v>
      </c>
      <c r="H115" s="31" t="s">
        <v>190</v>
      </c>
      <c r="I115" s="35">
        <v>0.74</v>
      </c>
      <c r="J115" s="35">
        <v>0.64</v>
      </c>
      <c r="K115" s="35">
        <v>0.62</v>
      </c>
      <c r="L115" s="35">
        <v>0.22</v>
      </c>
      <c r="M115" s="35">
        <v>0.16</v>
      </c>
      <c r="N115" s="35">
        <v>0.22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"/>
      <c r="BF115" s="1"/>
      <c r="BG115" s="1"/>
      <c r="BH115" s="1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</row>
    <row r="116" spans="1:73" x14ac:dyDescent="0.25">
      <c r="A116" s="30">
        <v>43509</v>
      </c>
      <c r="B116" s="32"/>
      <c r="C116" s="32"/>
      <c r="D116" s="31"/>
      <c r="E116" s="44"/>
      <c r="F116" s="31"/>
      <c r="G116" s="31"/>
      <c r="H116" s="31"/>
      <c r="I116" s="33">
        <f>20*60</f>
        <v>1200</v>
      </c>
      <c r="J116" s="33">
        <f>60*60</f>
        <v>3600</v>
      </c>
      <c r="K116" s="33">
        <f>6*60*60</f>
        <v>21600</v>
      </c>
      <c r="L116" s="33">
        <f>2*24*60*60</f>
        <v>172800</v>
      </c>
      <c r="M116" s="33">
        <f>7*24*60*60</f>
        <v>604800</v>
      </c>
      <c r="N116" s="33">
        <f>21*24*60*60</f>
        <v>1814400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"/>
      <c r="BF116" s="1"/>
      <c r="BG116" s="1"/>
      <c r="BH116" s="1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</row>
    <row r="117" spans="1:73" x14ac:dyDescent="0.25">
      <c r="A117" s="30">
        <v>43509</v>
      </c>
      <c r="B117" s="32" t="s">
        <v>97</v>
      </c>
      <c r="C117" s="32" t="s">
        <v>50</v>
      </c>
      <c r="D117" s="31">
        <v>1983</v>
      </c>
      <c r="E117" s="44">
        <v>2</v>
      </c>
      <c r="F117" s="31" t="s">
        <v>32</v>
      </c>
      <c r="G117" s="31" t="s">
        <v>442</v>
      </c>
      <c r="H117" s="31" t="s">
        <v>190</v>
      </c>
      <c r="I117" s="35">
        <v>0.89</v>
      </c>
      <c r="J117" s="35">
        <v>0.77</v>
      </c>
      <c r="K117" s="35">
        <v>0.71</v>
      </c>
      <c r="L117" s="35">
        <v>0.41</v>
      </c>
      <c r="M117" s="35">
        <v>0.24</v>
      </c>
      <c r="N117" s="35">
        <v>0.17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"/>
      <c r="BF117" s="1"/>
      <c r="BG117" s="1"/>
      <c r="BH117" s="1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</row>
    <row r="118" spans="1:73" x14ac:dyDescent="0.25">
      <c r="A118" s="30">
        <v>43897</v>
      </c>
      <c r="B118" s="32"/>
      <c r="C118" s="32"/>
      <c r="D118" s="31"/>
      <c r="E118" s="44"/>
      <c r="F118" s="31"/>
      <c r="G118" s="31"/>
      <c r="H118" s="31"/>
      <c r="I118" s="33">
        <v>94608000</v>
      </c>
      <c r="J118" s="33">
        <v>409968000</v>
      </c>
      <c r="K118" s="33">
        <v>725328000</v>
      </c>
      <c r="L118" s="33">
        <v>1040688000</v>
      </c>
      <c r="M118" s="33">
        <v>1356048000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"/>
      <c r="BF118" s="1"/>
      <c r="BG118" s="1"/>
      <c r="BH118" s="1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</row>
    <row r="119" spans="1:73" x14ac:dyDescent="0.25">
      <c r="A119" s="30">
        <v>43897</v>
      </c>
      <c r="B119" s="32" t="s">
        <v>242</v>
      </c>
      <c r="C119" s="32" t="s">
        <v>243</v>
      </c>
      <c r="D119" s="31">
        <v>1988</v>
      </c>
      <c r="E119" s="44">
        <v>1</v>
      </c>
      <c r="F119" s="31" t="s">
        <v>26</v>
      </c>
      <c r="G119" s="31" t="s">
        <v>197</v>
      </c>
      <c r="H119" s="31" t="s">
        <v>244</v>
      </c>
      <c r="I119" s="35">
        <v>0.69230769230769229</v>
      </c>
      <c r="J119" s="35">
        <v>0.76595744680851063</v>
      </c>
      <c r="K119" s="35">
        <v>0.67567567567567566</v>
      </c>
      <c r="L119" s="35">
        <v>0.57692307692307687</v>
      </c>
      <c r="M119" s="35">
        <v>0.81428571428571428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"/>
      <c r="BF119" s="1"/>
      <c r="BG119" s="1"/>
      <c r="BH119" s="1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</row>
    <row r="120" spans="1:73" x14ac:dyDescent="0.25">
      <c r="A120" s="27">
        <v>43897</v>
      </c>
      <c r="B120" s="1"/>
      <c r="C120" s="1"/>
      <c r="D120" s="23"/>
      <c r="E120" s="38"/>
      <c r="F120" s="23"/>
      <c r="G120" s="23"/>
      <c r="H120" s="23"/>
      <c r="I120" s="12">
        <f>60*60*24*365*3</f>
        <v>94608000</v>
      </c>
      <c r="J120" s="12">
        <f>60*60*24*365*13</f>
        <v>409968000</v>
      </c>
      <c r="K120" s="12">
        <f>60*60*24*365*23</f>
        <v>725328000</v>
      </c>
      <c r="L120" s="12">
        <f>60*60*24*365*33</f>
        <v>1040688000</v>
      </c>
      <c r="M120" s="12">
        <f>60*60*24*365*43</f>
        <v>1356048000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"/>
      <c r="BF120" s="1"/>
      <c r="BG120" s="1"/>
      <c r="BH120" s="1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</row>
    <row r="121" spans="1:73" x14ac:dyDescent="0.25">
      <c r="A121" s="27">
        <v>43897</v>
      </c>
      <c r="B121" s="1" t="s">
        <v>245</v>
      </c>
      <c r="C121" s="1" t="s">
        <v>246</v>
      </c>
      <c r="D121" s="23">
        <v>1988</v>
      </c>
      <c r="E121" s="38">
        <v>1</v>
      </c>
      <c r="F121" s="23" t="s">
        <v>32</v>
      </c>
      <c r="G121" s="23" t="s">
        <v>197</v>
      </c>
      <c r="H121" s="23" t="s">
        <v>208</v>
      </c>
      <c r="I121" s="18">
        <v>0.72</v>
      </c>
      <c r="J121" s="18">
        <v>0.7</v>
      </c>
      <c r="K121" s="18">
        <v>0.62</v>
      </c>
      <c r="L121" s="18">
        <v>0.72</v>
      </c>
      <c r="M121" s="18">
        <v>0.74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"/>
      <c r="BF121" s="1"/>
      <c r="BG121" s="1"/>
      <c r="BH121" s="1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</row>
    <row r="122" spans="1:73" x14ac:dyDescent="0.25">
      <c r="A122" s="27">
        <v>43897</v>
      </c>
      <c r="B122" s="5"/>
      <c r="C122" s="5"/>
      <c r="D122" s="22"/>
      <c r="E122" s="38"/>
      <c r="F122" s="22"/>
      <c r="G122" s="23"/>
      <c r="H122" s="23"/>
      <c r="I122" s="12">
        <v>157680000</v>
      </c>
      <c r="J122" s="12">
        <v>473040000</v>
      </c>
      <c r="K122" s="12">
        <v>788400000</v>
      </c>
      <c r="L122" s="12">
        <v>1103760000</v>
      </c>
      <c r="M122" s="12">
        <v>1419120000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5"/>
      <c r="BF122" s="5"/>
      <c r="BG122" s="5"/>
      <c r="BH122" s="5"/>
    </row>
    <row r="123" spans="1:73" x14ac:dyDescent="0.25">
      <c r="A123" s="27">
        <v>43897</v>
      </c>
      <c r="B123" s="5" t="s">
        <v>247</v>
      </c>
      <c r="C123" s="5" t="s">
        <v>81</v>
      </c>
      <c r="D123" s="22">
        <v>1982</v>
      </c>
      <c r="E123" s="38">
        <v>1</v>
      </c>
      <c r="F123" s="22" t="s">
        <v>272</v>
      </c>
      <c r="G123" s="23" t="s">
        <v>197</v>
      </c>
      <c r="H123" s="23" t="s">
        <v>208</v>
      </c>
      <c r="I123" s="18">
        <v>0.64</v>
      </c>
      <c r="J123" s="18">
        <v>0.5</v>
      </c>
      <c r="K123" s="18">
        <v>0.49</v>
      </c>
      <c r="L123" s="18">
        <v>0.68</v>
      </c>
      <c r="M123" s="18">
        <v>0.68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5"/>
      <c r="BF123" s="5"/>
      <c r="BG123" s="5"/>
      <c r="BH123" s="5"/>
    </row>
    <row r="124" spans="1:73" x14ac:dyDescent="0.25">
      <c r="A124" s="30">
        <v>43897</v>
      </c>
      <c r="B124" s="48"/>
      <c r="C124" s="48"/>
      <c r="D124" s="46"/>
      <c r="E124" s="44"/>
      <c r="F124" s="46"/>
      <c r="G124" s="31"/>
      <c r="H124" s="31"/>
      <c r="I124" s="33">
        <v>94608000</v>
      </c>
      <c r="J124" s="33">
        <v>409968000</v>
      </c>
      <c r="K124" s="33">
        <v>725328000</v>
      </c>
      <c r="L124" s="33">
        <v>1040688000</v>
      </c>
      <c r="M124" s="33">
        <v>1324512000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5"/>
      <c r="BF124" s="5"/>
      <c r="BG124" s="5"/>
      <c r="BH124" s="5"/>
    </row>
    <row r="125" spans="1:73" x14ac:dyDescent="0.25">
      <c r="A125" s="30">
        <v>43897</v>
      </c>
      <c r="B125" s="48" t="s">
        <v>248</v>
      </c>
      <c r="C125" s="48" t="s">
        <v>240</v>
      </c>
      <c r="D125" s="46">
        <v>1989</v>
      </c>
      <c r="E125" s="44">
        <v>1</v>
      </c>
      <c r="F125" s="46" t="s">
        <v>32</v>
      </c>
      <c r="G125" s="31" t="s">
        <v>197</v>
      </c>
      <c r="H125" s="31" t="s">
        <v>208</v>
      </c>
      <c r="I125" s="35">
        <v>0.5</v>
      </c>
      <c r="J125" s="35">
        <v>0.5</v>
      </c>
      <c r="K125" s="35">
        <v>0.53968253968253976</v>
      </c>
      <c r="L125" s="35">
        <v>0.44827586206896552</v>
      </c>
      <c r="M125" s="35">
        <v>0.55681818181818177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5"/>
      <c r="BF125" s="5"/>
      <c r="BG125" s="5"/>
      <c r="BH125" s="5"/>
    </row>
    <row r="126" spans="1:73" x14ac:dyDescent="0.25">
      <c r="A126" s="30">
        <v>43897</v>
      </c>
      <c r="B126" s="32"/>
      <c r="C126" s="32"/>
      <c r="D126" s="61"/>
      <c r="E126" s="44"/>
      <c r="F126" s="31"/>
      <c r="G126" s="31"/>
      <c r="H126" s="31"/>
      <c r="I126" s="33">
        <v>157680000</v>
      </c>
      <c r="J126" s="33">
        <v>473040000</v>
      </c>
      <c r="K126" s="33">
        <v>788400000</v>
      </c>
      <c r="L126" s="33">
        <v>1103760000</v>
      </c>
      <c r="M126" s="33">
        <v>1419120000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"/>
      <c r="BF126" s="1"/>
      <c r="BG126" s="1"/>
      <c r="BH126" s="1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</row>
    <row r="127" spans="1:73" x14ac:dyDescent="0.25">
      <c r="A127" s="30">
        <v>43897</v>
      </c>
      <c r="B127" s="32" t="s">
        <v>249</v>
      </c>
      <c r="C127" s="32" t="s">
        <v>81</v>
      </c>
      <c r="D127" s="61">
        <v>1990</v>
      </c>
      <c r="E127" s="44">
        <v>2</v>
      </c>
      <c r="F127" s="31" t="s">
        <v>250</v>
      </c>
      <c r="G127" s="31" t="s">
        <v>197</v>
      </c>
      <c r="H127" s="31" t="s">
        <v>223</v>
      </c>
      <c r="I127" s="35">
        <v>1</v>
      </c>
      <c r="J127" s="35">
        <v>0.98863636363636365</v>
      </c>
      <c r="K127" s="35">
        <v>1</v>
      </c>
      <c r="L127" s="35">
        <v>0.98</v>
      </c>
      <c r="M127" s="35">
        <v>1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"/>
      <c r="BF127" s="1"/>
      <c r="BG127" s="1"/>
      <c r="BH127" s="1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</row>
    <row r="128" spans="1:73" x14ac:dyDescent="0.25">
      <c r="A128" s="30">
        <v>43897</v>
      </c>
      <c r="B128" s="32"/>
      <c r="C128" s="32"/>
      <c r="D128" s="61"/>
      <c r="E128" s="44"/>
      <c r="F128" s="31"/>
      <c r="G128" s="31"/>
      <c r="H128" s="31"/>
      <c r="I128" s="33">
        <v>157680000</v>
      </c>
      <c r="J128" s="33">
        <v>473040000</v>
      </c>
      <c r="K128" s="33">
        <v>788400000</v>
      </c>
      <c r="L128" s="33">
        <v>1103760000</v>
      </c>
      <c r="M128" s="33">
        <v>1419120000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"/>
      <c r="BF128" s="1"/>
      <c r="BG128" s="1"/>
      <c r="BH128" s="1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</row>
    <row r="129" spans="1:73" x14ac:dyDescent="0.25">
      <c r="A129" s="30">
        <v>43897</v>
      </c>
      <c r="B129" s="32" t="s">
        <v>249</v>
      </c>
      <c r="C129" s="32" t="s">
        <v>81</v>
      </c>
      <c r="D129" s="61">
        <v>1990</v>
      </c>
      <c r="E129" s="44">
        <v>2</v>
      </c>
      <c r="F129" s="31" t="s">
        <v>250</v>
      </c>
      <c r="G129" s="31" t="s">
        <v>197</v>
      </c>
      <c r="H129" s="31" t="s">
        <v>223</v>
      </c>
      <c r="I129" s="35">
        <v>0.85106382978723416</v>
      </c>
      <c r="J129" s="35">
        <v>0.94117647058823528</v>
      </c>
      <c r="K129" s="35">
        <v>0.86363636363636365</v>
      </c>
      <c r="L129" s="35">
        <v>0.94117647058823528</v>
      </c>
      <c r="M129" s="35">
        <v>0.90909090909090917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"/>
      <c r="BF129" s="1"/>
      <c r="BG129" s="1"/>
      <c r="BH129" s="1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</row>
    <row r="130" spans="1:73" x14ac:dyDescent="0.25">
      <c r="A130" s="27">
        <v>43897</v>
      </c>
      <c r="B130" s="1"/>
      <c r="C130" s="1"/>
      <c r="D130" s="28"/>
      <c r="E130" s="38"/>
      <c r="F130" s="23"/>
      <c r="G130" s="23"/>
      <c r="H130" s="23"/>
      <c r="I130" s="12">
        <v>315360000</v>
      </c>
      <c r="J130" s="12">
        <v>630720000</v>
      </c>
      <c r="K130" s="12">
        <v>646080000</v>
      </c>
      <c r="L130" s="12">
        <v>12614400000</v>
      </c>
      <c r="M130" s="12">
        <v>1576800000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"/>
      <c r="BF130" s="1"/>
      <c r="BG130" s="1"/>
      <c r="BH130" s="1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</row>
    <row r="131" spans="1:73" x14ac:dyDescent="0.25">
      <c r="A131" s="27">
        <v>43897</v>
      </c>
      <c r="B131" s="1" t="s">
        <v>251</v>
      </c>
      <c r="C131" s="1" t="s">
        <v>246</v>
      </c>
      <c r="D131" s="28">
        <v>1988</v>
      </c>
      <c r="E131" s="37">
        <v>1</v>
      </c>
      <c r="F131" s="23" t="s">
        <v>207</v>
      </c>
      <c r="G131" s="23" t="s">
        <v>197</v>
      </c>
      <c r="H131" s="23" t="s">
        <v>206</v>
      </c>
      <c r="I131" s="18">
        <v>0.3</v>
      </c>
      <c r="J131" s="18">
        <v>0.42</v>
      </c>
      <c r="K131" s="18">
        <v>0.31</v>
      </c>
      <c r="L131" s="18">
        <v>0.56999999999999995</v>
      </c>
      <c r="M131" s="18">
        <v>0.34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"/>
      <c r="BF131" s="1"/>
      <c r="BG131" s="1"/>
      <c r="BH131" s="1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</row>
    <row r="132" spans="1:73" x14ac:dyDescent="0.25">
      <c r="A132" s="27">
        <v>43897</v>
      </c>
      <c r="B132" s="1"/>
      <c r="C132" s="1"/>
      <c r="D132" s="28"/>
      <c r="E132" s="38"/>
      <c r="F132" s="23"/>
      <c r="G132" s="23"/>
      <c r="H132" s="23"/>
      <c r="I132" s="12">
        <v>315360000</v>
      </c>
      <c r="J132" s="12">
        <v>630720000</v>
      </c>
      <c r="K132" s="12">
        <v>646080000</v>
      </c>
      <c r="L132" s="12">
        <v>12614400000</v>
      </c>
      <c r="M132" s="12">
        <v>1576800000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"/>
      <c r="BF132" s="1"/>
      <c r="BG132" s="1"/>
      <c r="BH132" s="1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</row>
    <row r="133" spans="1:73" x14ac:dyDescent="0.25">
      <c r="A133" s="27">
        <v>43897</v>
      </c>
      <c r="B133" s="1" t="s">
        <v>251</v>
      </c>
      <c r="C133" s="1" t="s">
        <v>246</v>
      </c>
      <c r="D133" s="28">
        <v>1988</v>
      </c>
      <c r="E133" s="37">
        <v>1</v>
      </c>
      <c r="F133" s="23" t="s">
        <v>207</v>
      </c>
      <c r="G133" s="23" t="s">
        <v>197</v>
      </c>
      <c r="H133" s="23" t="s">
        <v>206</v>
      </c>
      <c r="I133" s="18">
        <v>0.60606060606060608</v>
      </c>
      <c r="J133" s="18">
        <v>0.7</v>
      </c>
      <c r="K133" s="18">
        <v>0.61538461538461542</v>
      </c>
      <c r="L133" s="18">
        <v>0.82105263157894748</v>
      </c>
      <c r="M133" s="18">
        <v>0.71212121212121204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"/>
      <c r="BF133" s="1"/>
      <c r="BG133" s="1"/>
      <c r="BH133" s="1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</row>
    <row r="134" spans="1:73" x14ac:dyDescent="0.25">
      <c r="A134" s="27">
        <v>43900</v>
      </c>
      <c r="B134" s="1"/>
      <c r="C134" s="1"/>
      <c r="D134" s="23"/>
      <c r="E134" s="38"/>
      <c r="F134" s="23"/>
      <c r="G134" s="23"/>
      <c r="H134" s="23"/>
      <c r="I134" s="12">
        <v>900</v>
      </c>
      <c r="J134" s="12">
        <v>86400</v>
      </c>
      <c r="K134" s="12">
        <v>604800</v>
      </c>
      <c r="L134" s="12">
        <v>2592000</v>
      </c>
      <c r="M134" s="18">
        <v>7862400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"/>
      <c r="BF134" s="1"/>
      <c r="BG134" s="1"/>
      <c r="BH134" s="1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</row>
    <row r="135" spans="1:73" x14ac:dyDescent="0.25">
      <c r="A135" s="27">
        <v>43900</v>
      </c>
      <c r="B135" s="1" t="s">
        <v>266</v>
      </c>
      <c r="C135" s="1" t="s">
        <v>267</v>
      </c>
      <c r="D135" s="23">
        <v>2012</v>
      </c>
      <c r="E135" s="38">
        <v>1</v>
      </c>
      <c r="F135" s="23" t="s">
        <v>269</v>
      </c>
      <c r="G135" s="23" t="s">
        <v>268</v>
      </c>
      <c r="H135" s="23" t="s">
        <v>186</v>
      </c>
      <c r="I135" s="18">
        <v>0.99</v>
      </c>
      <c r="J135" s="18">
        <v>0.93</v>
      </c>
      <c r="K135" s="18">
        <v>0.83</v>
      </c>
      <c r="L135" s="18">
        <v>0.72</v>
      </c>
      <c r="M135" s="18">
        <v>0.69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"/>
      <c r="BF135" s="1"/>
      <c r="BG135" s="1"/>
      <c r="BH135" s="1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</row>
    <row r="136" spans="1:73" x14ac:dyDescent="0.25">
      <c r="A136" s="27">
        <v>43509</v>
      </c>
      <c r="B136" s="1"/>
      <c r="C136" s="1"/>
      <c r="D136" s="23"/>
      <c r="E136" s="38"/>
      <c r="F136" s="23"/>
      <c r="G136" s="23"/>
      <c r="H136" s="23"/>
      <c r="I136" s="12">
        <v>1</v>
      </c>
      <c r="J136" s="12">
        <v>3</v>
      </c>
      <c r="K136" s="12">
        <v>6</v>
      </c>
      <c r="L136" s="12">
        <v>10</v>
      </c>
      <c r="M136" s="12">
        <v>15</v>
      </c>
      <c r="N136" s="12">
        <v>25</v>
      </c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"/>
      <c r="BF136" s="1"/>
      <c r="BG136" s="1"/>
      <c r="BH136" s="1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</row>
    <row r="137" spans="1:73" x14ac:dyDescent="0.25">
      <c r="A137" s="27">
        <v>43509</v>
      </c>
      <c r="B137" s="1" t="s">
        <v>158</v>
      </c>
      <c r="C137" s="1" t="s">
        <v>30</v>
      </c>
      <c r="D137" s="23">
        <v>1975</v>
      </c>
      <c r="E137" s="38">
        <v>1</v>
      </c>
      <c r="F137" s="23" t="s">
        <v>32</v>
      </c>
      <c r="G137" s="23"/>
      <c r="H137" s="23" t="s">
        <v>273</v>
      </c>
      <c r="I137" s="18">
        <v>0.91</v>
      </c>
      <c r="J137" s="18">
        <v>0.81</v>
      </c>
      <c r="K137" s="18">
        <v>0.47</v>
      </c>
      <c r="L137" s="18">
        <v>0.22</v>
      </c>
      <c r="M137" s="18">
        <v>0.31</v>
      </c>
      <c r="N137" s="18">
        <v>0.28000000000000003</v>
      </c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"/>
      <c r="BF137" s="1"/>
      <c r="BG137" s="1"/>
      <c r="BH137" s="1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</row>
    <row r="138" spans="1:73" x14ac:dyDescent="0.25">
      <c r="A138" s="27">
        <v>43509</v>
      </c>
      <c r="B138" s="1"/>
      <c r="C138" s="1"/>
      <c r="D138" s="23"/>
      <c r="E138" s="38"/>
      <c r="F138" s="23"/>
      <c r="G138" s="23"/>
      <c r="H138" s="23"/>
      <c r="I138" s="12">
        <v>3</v>
      </c>
      <c r="J138" s="12">
        <v>4</v>
      </c>
      <c r="K138" s="12">
        <v>6</v>
      </c>
      <c r="L138" s="12">
        <v>8</v>
      </c>
      <c r="M138" s="12">
        <v>30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"/>
      <c r="BF138" s="1"/>
      <c r="BG138" s="1"/>
      <c r="BH138" s="1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</row>
    <row r="139" spans="1:73" x14ac:dyDescent="0.25">
      <c r="A139" s="27">
        <v>43509</v>
      </c>
      <c r="B139" s="1" t="s">
        <v>158</v>
      </c>
      <c r="C139" s="1" t="s">
        <v>30</v>
      </c>
      <c r="D139" s="23">
        <v>1975</v>
      </c>
      <c r="E139" s="38">
        <v>2</v>
      </c>
      <c r="F139" s="23" t="s">
        <v>25</v>
      </c>
      <c r="G139" s="23" t="s">
        <v>448</v>
      </c>
      <c r="H139" s="23" t="s">
        <v>273</v>
      </c>
      <c r="I139" s="18">
        <v>0.75</v>
      </c>
      <c r="J139" s="18">
        <v>0.57999999999999996</v>
      </c>
      <c r="K139" s="18">
        <v>0.6</v>
      </c>
      <c r="L139" s="18">
        <v>0.69</v>
      </c>
      <c r="M139" s="18">
        <v>0.65</v>
      </c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"/>
      <c r="BF139" s="1"/>
      <c r="BG139" s="1"/>
      <c r="BH139" s="1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</row>
    <row r="140" spans="1:73" x14ac:dyDescent="0.25">
      <c r="A140" s="27">
        <v>43509</v>
      </c>
      <c r="B140" s="1"/>
      <c r="C140" s="1"/>
      <c r="D140" s="23"/>
      <c r="E140" s="38"/>
      <c r="F140" s="23"/>
      <c r="G140" s="23"/>
      <c r="H140" s="23"/>
      <c r="I140" s="12">
        <v>2</v>
      </c>
      <c r="J140" s="12">
        <v>4</v>
      </c>
      <c r="K140" s="12">
        <v>6</v>
      </c>
      <c r="L140" s="12">
        <v>8</v>
      </c>
      <c r="M140" s="12">
        <v>30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"/>
      <c r="BF140" s="1"/>
      <c r="BG140" s="1"/>
      <c r="BH140" s="1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</row>
    <row r="141" spans="1:73" x14ac:dyDescent="0.25">
      <c r="A141" s="27">
        <v>43509</v>
      </c>
      <c r="B141" s="1" t="s">
        <v>158</v>
      </c>
      <c r="C141" s="1" t="s">
        <v>30</v>
      </c>
      <c r="D141" s="23">
        <v>1975</v>
      </c>
      <c r="E141" s="38">
        <v>2</v>
      </c>
      <c r="F141" s="23" t="s">
        <v>25</v>
      </c>
      <c r="G141" s="23" t="s">
        <v>450</v>
      </c>
      <c r="H141" s="23" t="s">
        <v>273</v>
      </c>
      <c r="I141" s="18">
        <v>0.83</v>
      </c>
      <c r="J141" s="18">
        <v>0.88</v>
      </c>
      <c r="K141" s="18">
        <v>0.73</v>
      </c>
      <c r="L141" s="18">
        <v>0.63</v>
      </c>
      <c r="M141" s="18">
        <v>0.73</v>
      </c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"/>
      <c r="BF141" s="1"/>
      <c r="BG141" s="1"/>
      <c r="BH141" s="1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</row>
    <row r="142" spans="1:73" x14ac:dyDescent="0.25">
      <c r="A142" s="27">
        <v>43509</v>
      </c>
      <c r="B142" s="1"/>
      <c r="C142" s="1"/>
      <c r="D142" s="23"/>
      <c r="E142" s="38"/>
      <c r="F142" s="23"/>
      <c r="G142" s="23"/>
      <c r="H142" s="23"/>
      <c r="I142" s="12">
        <v>2</v>
      </c>
      <c r="J142" s="12">
        <v>4</v>
      </c>
      <c r="K142" s="12">
        <v>6</v>
      </c>
      <c r="L142" s="12">
        <v>8</v>
      </c>
      <c r="M142" s="12">
        <v>30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"/>
      <c r="BF142" s="1"/>
      <c r="BG142" s="1"/>
      <c r="BH142" s="1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</row>
    <row r="143" spans="1:73" x14ac:dyDescent="0.25">
      <c r="A143" s="27">
        <v>43509</v>
      </c>
      <c r="B143" s="1" t="s">
        <v>158</v>
      </c>
      <c r="C143" s="1" t="s">
        <v>30</v>
      </c>
      <c r="D143" s="23">
        <v>1975</v>
      </c>
      <c r="E143" s="38">
        <v>3</v>
      </c>
      <c r="F143" s="23" t="s">
        <v>22</v>
      </c>
      <c r="G143" s="23" t="s">
        <v>448</v>
      </c>
      <c r="H143" s="23" t="s">
        <v>273</v>
      </c>
      <c r="I143" s="18">
        <v>0.69</v>
      </c>
      <c r="J143" s="18">
        <v>0.56000000000000005</v>
      </c>
      <c r="K143" s="18">
        <v>0.59</v>
      </c>
      <c r="L143" s="18">
        <v>0.56999999999999995</v>
      </c>
      <c r="M143" s="18">
        <v>0.53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"/>
      <c r="BF143" s="1"/>
      <c r="BG143" s="1"/>
      <c r="BH143" s="1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</row>
    <row r="144" spans="1:73" x14ac:dyDescent="0.25">
      <c r="A144" s="27">
        <v>43509</v>
      </c>
      <c r="B144" s="1"/>
      <c r="C144" s="1"/>
      <c r="D144" s="23"/>
      <c r="E144" s="38"/>
      <c r="F144" s="23"/>
      <c r="G144" s="23"/>
      <c r="H144" s="23"/>
      <c r="I144" s="12">
        <v>2</v>
      </c>
      <c r="J144" s="12">
        <v>4</v>
      </c>
      <c r="K144" s="12">
        <v>6</v>
      </c>
      <c r="L144" s="12">
        <v>8</v>
      </c>
      <c r="M144" s="12">
        <v>30</v>
      </c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"/>
      <c r="BF144" s="1"/>
      <c r="BG144" s="1"/>
      <c r="BH144" s="1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</row>
    <row r="145" spans="1:73" x14ac:dyDescent="0.25">
      <c r="A145" s="27">
        <v>43509</v>
      </c>
      <c r="B145" s="1" t="s">
        <v>158</v>
      </c>
      <c r="C145" s="1" t="s">
        <v>30</v>
      </c>
      <c r="D145" s="23">
        <v>1975</v>
      </c>
      <c r="E145" s="38">
        <v>3</v>
      </c>
      <c r="F145" s="23" t="s">
        <v>22</v>
      </c>
      <c r="G145" s="23" t="s">
        <v>449</v>
      </c>
      <c r="H145" s="23" t="s">
        <v>273</v>
      </c>
      <c r="I145" s="18">
        <v>0.91</v>
      </c>
      <c r="J145" s="18">
        <v>0.85</v>
      </c>
      <c r="K145" s="18">
        <v>0.56000000000000005</v>
      </c>
      <c r="L145" s="18">
        <v>0.47</v>
      </c>
      <c r="M145" s="18">
        <v>0.44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"/>
      <c r="BF145" s="1"/>
      <c r="BG145" s="1"/>
      <c r="BH145" s="1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</row>
    <row r="146" spans="1:73" x14ac:dyDescent="0.25">
      <c r="A146" s="27">
        <v>43902</v>
      </c>
      <c r="B146" s="1"/>
      <c r="C146" s="1"/>
      <c r="D146" s="23"/>
      <c r="E146" s="38"/>
      <c r="F146" s="23"/>
      <c r="G146" s="23"/>
      <c r="H146" s="23"/>
      <c r="I146" s="18">
        <v>0.01</v>
      </c>
      <c r="J146" s="12">
        <v>5</v>
      </c>
      <c r="K146" s="12">
        <v>10</v>
      </c>
      <c r="L146" s="12">
        <v>30</v>
      </c>
      <c r="M146" s="12">
        <v>60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"/>
      <c r="BF146" s="1"/>
      <c r="BG146" s="1"/>
      <c r="BH146" s="1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</row>
    <row r="147" spans="1:73" x14ac:dyDescent="0.25">
      <c r="A147" s="27">
        <v>43902</v>
      </c>
      <c r="B147" s="1" t="s">
        <v>282</v>
      </c>
      <c r="C147" s="1" t="s">
        <v>81</v>
      </c>
      <c r="D147" s="23">
        <v>1982</v>
      </c>
      <c r="E147" s="38">
        <v>1</v>
      </c>
      <c r="F147" s="23" t="s">
        <v>283</v>
      </c>
      <c r="G147" s="23" t="s">
        <v>197</v>
      </c>
      <c r="H147" s="23" t="s">
        <v>273</v>
      </c>
      <c r="I147" s="18">
        <v>1</v>
      </c>
      <c r="J147" s="18">
        <v>0.84</v>
      </c>
      <c r="K147" s="18">
        <v>0.64</v>
      </c>
      <c r="L147" s="18">
        <v>0.59</v>
      </c>
      <c r="M147" s="18">
        <v>0.47</v>
      </c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"/>
      <c r="BF147" s="1"/>
      <c r="BG147" s="1"/>
      <c r="BH147" s="1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</row>
    <row r="148" spans="1:73" x14ac:dyDescent="0.25">
      <c r="A148" s="27">
        <v>43902</v>
      </c>
      <c r="B148" s="1"/>
      <c r="C148" s="1"/>
      <c r="D148" s="23"/>
      <c r="E148" s="38"/>
      <c r="F148" s="23"/>
      <c r="G148" s="23"/>
      <c r="H148" s="23"/>
      <c r="I148" s="18">
        <v>0.01</v>
      </c>
      <c r="J148" s="12">
        <v>5</v>
      </c>
      <c r="K148" s="12">
        <v>10</v>
      </c>
      <c r="L148" s="12">
        <v>30</v>
      </c>
      <c r="M148" s="12">
        <v>60</v>
      </c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"/>
      <c r="BF148" s="1"/>
      <c r="BG148" s="1"/>
      <c r="BH148" s="1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</row>
    <row r="149" spans="1:73" x14ac:dyDescent="0.25">
      <c r="A149" s="27">
        <v>43902</v>
      </c>
      <c r="B149" s="1" t="s">
        <v>282</v>
      </c>
      <c r="C149" s="1" t="s">
        <v>81</v>
      </c>
      <c r="D149" s="23">
        <v>1982</v>
      </c>
      <c r="E149" s="38">
        <v>1</v>
      </c>
      <c r="F149" s="23" t="s">
        <v>285</v>
      </c>
      <c r="G149" s="23" t="s">
        <v>197</v>
      </c>
      <c r="H149" s="23" t="s">
        <v>273</v>
      </c>
      <c r="I149" s="18">
        <v>1</v>
      </c>
      <c r="J149" s="18">
        <v>0.81</v>
      </c>
      <c r="K149" s="18">
        <v>0.62</v>
      </c>
      <c r="L149" s="18">
        <v>0.5</v>
      </c>
      <c r="M149" s="18">
        <v>0.47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"/>
      <c r="BF149" s="1"/>
      <c r="BG149" s="1"/>
      <c r="BH149" s="1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</row>
    <row r="150" spans="1:73" x14ac:dyDescent="0.25">
      <c r="A150" s="27">
        <v>43509</v>
      </c>
      <c r="B150" s="1"/>
      <c r="C150" s="1"/>
      <c r="D150" s="23"/>
      <c r="E150" s="38"/>
      <c r="F150" s="23"/>
      <c r="G150" s="23"/>
      <c r="H150" s="23"/>
      <c r="I150" s="12">
        <v>2</v>
      </c>
      <c r="J150" s="12">
        <v>4</v>
      </c>
      <c r="K150" s="12">
        <v>8</v>
      </c>
      <c r="L150" s="12">
        <v>16</v>
      </c>
      <c r="M150" s="12">
        <v>32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"/>
      <c r="BF150" s="1"/>
      <c r="BG150" s="1"/>
      <c r="BH150" s="1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</row>
    <row r="151" spans="1:73" x14ac:dyDescent="0.25">
      <c r="A151" s="27">
        <v>43509</v>
      </c>
      <c r="B151" s="1" t="s">
        <v>160</v>
      </c>
      <c r="C151" s="1" t="s">
        <v>28</v>
      </c>
      <c r="D151" s="23">
        <v>2012</v>
      </c>
      <c r="E151" s="38">
        <v>1</v>
      </c>
      <c r="F151" s="23" t="s">
        <v>32</v>
      </c>
      <c r="G151" s="23" t="s">
        <v>451</v>
      </c>
      <c r="H151" s="23" t="s">
        <v>190</v>
      </c>
      <c r="I151" s="18">
        <v>0.96099999999999997</v>
      </c>
      <c r="J151" s="18">
        <v>0.92600000000000005</v>
      </c>
      <c r="K151" s="18">
        <v>0.91400000000000003</v>
      </c>
      <c r="L151" s="18">
        <v>0.90900000000000003</v>
      </c>
      <c r="M151" s="18">
        <v>0.83399999999999996</v>
      </c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"/>
      <c r="BF151" s="1"/>
      <c r="BG151" s="1"/>
      <c r="BH151" s="1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</row>
    <row r="152" spans="1:73" x14ac:dyDescent="0.25">
      <c r="A152" s="27">
        <v>43509</v>
      </c>
      <c r="B152" s="1"/>
      <c r="C152" s="1"/>
      <c r="D152" s="23"/>
      <c r="E152" s="38"/>
      <c r="F152" s="23"/>
      <c r="G152" s="23"/>
      <c r="H152" s="23"/>
      <c r="I152" s="12">
        <v>2</v>
      </c>
      <c r="J152" s="12">
        <v>4</v>
      </c>
      <c r="K152" s="12">
        <v>8</v>
      </c>
      <c r="L152" s="12">
        <v>16</v>
      </c>
      <c r="M152" s="12">
        <v>32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"/>
      <c r="BF152" s="1"/>
      <c r="BG152" s="1"/>
      <c r="BH152" s="1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</row>
    <row r="153" spans="1:73" x14ac:dyDescent="0.25">
      <c r="A153" s="27">
        <v>43509</v>
      </c>
      <c r="B153" s="1" t="s">
        <v>160</v>
      </c>
      <c r="C153" s="1" t="s">
        <v>28</v>
      </c>
      <c r="D153" s="23">
        <v>2012</v>
      </c>
      <c r="E153" s="38">
        <v>1</v>
      </c>
      <c r="F153" s="23" t="s">
        <v>32</v>
      </c>
      <c r="G153" s="23" t="s">
        <v>452</v>
      </c>
      <c r="H153" s="23" t="s">
        <v>190</v>
      </c>
      <c r="I153" s="18">
        <v>0.9</v>
      </c>
      <c r="J153" s="18">
        <v>0.86599999999999999</v>
      </c>
      <c r="K153" s="18">
        <v>0.75900000000000001</v>
      </c>
      <c r="L153" s="18">
        <v>0.71899999999999997</v>
      </c>
      <c r="M153" s="18">
        <v>0.72699999999999998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"/>
      <c r="BF153" s="1"/>
      <c r="BG153" s="1"/>
      <c r="BH153" s="1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</row>
    <row r="154" spans="1:73" x14ac:dyDescent="0.25">
      <c r="A154" s="27">
        <v>43509</v>
      </c>
      <c r="B154" s="1"/>
      <c r="C154" s="1"/>
      <c r="D154" s="23"/>
      <c r="E154" s="38"/>
      <c r="F154" s="23"/>
      <c r="G154" s="23"/>
      <c r="H154" s="23"/>
      <c r="I154" s="12">
        <v>2</v>
      </c>
      <c r="J154" s="12">
        <v>4</v>
      </c>
      <c r="K154" s="12">
        <v>8</v>
      </c>
      <c r="L154" s="12">
        <v>16</v>
      </c>
      <c r="M154" s="12">
        <v>32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"/>
      <c r="BF154" s="1"/>
      <c r="BG154" s="1"/>
      <c r="BH154" s="1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</row>
    <row r="155" spans="1:73" x14ac:dyDescent="0.25">
      <c r="A155" s="27">
        <v>43509</v>
      </c>
      <c r="B155" s="1" t="s">
        <v>160</v>
      </c>
      <c r="C155" s="1" t="s">
        <v>28</v>
      </c>
      <c r="D155" s="23">
        <v>2012</v>
      </c>
      <c r="E155" s="38">
        <v>1</v>
      </c>
      <c r="F155" s="23" t="s">
        <v>32</v>
      </c>
      <c r="G155" s="23" t="s">
        <v>453</v>
      </c>
      <c r="H155" s="23" t="s">
        <v>190</v>
      </c>
      <c r="I155" s="18">
        <v>0.92800000000000005</v>
      </c>
      <c r="J155" s="18">
        <v>0.84399999999999997</v>
      </c>
      <c r="K155" s="18">
        <v>0.80200000000000005</v>
      </c>
      <c r="L155" s="18">
        <v>0.86499999999999999</v>
      </c>
      <c r="M155" s="18">
        <v>0.84899999999999998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"/>
      <c r="BF155" s="1"/>
      <c r="BG155" s="1"/>
      <c r="BH155" s="1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</row>
    <row r="156" spans="1:73" x14ac:dyDescent="0.25">
      <c r="A156" s="27">
        <v>43509</v>
      </c>
      <c r="B156" s="1"/>
      <c r="C156" s="1"/>
      <c r="D156" s="23"/>
      <c r="E156" s="38"/>
      <c r="F156" s="23"/>
      <c r="G156" s="23"/>
      <c r="H156" s="23"/>
      <c r="I156" s="12">
        <v>2</v>
      </c>
      <c r="J156" s="12">
        <v>4</v>
      </c>
      <c r="K156" s="12">
        <v>8</v>
      </c>
      <c r="L156" s="12">
        <v>16</v>
      </c>
      <c r="M156" s="12">
        <v>32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"/>
      <c r="BF156" s="1"/>
      <c r="BG156" s="1"/>
      <c r="BH156" s="1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</row>
    <row r="157" spans="1:73" x14ac:dyDescent="0.25">
      <c r="A157" s="27">
        <v>43509</v>
      </c>
      <c r="B157" s="1" t="s">
        <v>160</v>
      </c>
      <c r="C157" s="1" t="s">
        <v>28</v>
      </c>
      <c r="D157" s="23">
        <v>2012</v>
      </c>
      <c r="E157" s="38">
        <v>2</v>
      </c>
      <c r="F157" s="23" t="s">
        <v>25</v>
      </c>
      <c r="G157" s="23" t="s">
        <v>451</v>
      </c>
      <c r="H157" s="23" t="s">
        <v>190</v>
      </c>
      <c r="I157" s="18">
        <v>0.98699999999999999</v>
      </c>
      <c r="J157" s="18">
        <v>0.94599999999999995</v>
      </c>
      <c r="K157" s="18">
        <v>0.9</v>
      </c>
      <c r="L157" s="18">
        <v>0.90500000000000003</v>
      </c>
      <c r="M157" s="18">
        <v>0.79300000000000004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"/>
      <c r="BF157" s="1"/>
      <c r="BG157" s="1"/>
      <c r="BH157" s="1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</row>
    <row r="158" spans="1:73" x14ac:dyDescent="0.25">
      <c r="A158" s="27">
        <v>43509</v>
      </c>
      <c r="B158" s="1"/>
      <c r="C158" s="1"/>
      <c r="D158" s="23"/>
      <c r="E158" s="38"/>
      <c r="F158" s="23"/>
      <c r="G158" s="23"/>
      <c r="H158" s="23"/>
      <c r="I158" s="12">
        <v>2</v>
      </c>
      <c r="J158" s="12">
        <v>4</v>
      </c>
      <c r="K158" s="12">
        <v>8</v>
      </c>
      <c r="L158" s="12">
        <v>16</v>
      </c>
      <c r="M158" s="12">
        <v>32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"/>
      <c r="BF158" s="1"/>
      <c r="BG158" s="1"/>
      <c r="BH158" s="1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</row>
    <row r="159" spans="1:73" x14ac:dyDescent="0.25">
      <c r="A159" s="27">
        <v>43509</v>
      </c>
      <c r="B159" s="1" t="s">
        <v>160</v>
      </c>
      <c r="C159" s="1" t="s">
        <v>28</v>
      </c>
      <c r="D159" s="23">
        <v>2012</v>
      </c>
      <c r="E159" s="38">
        <v>2</v>
      </c>
      <c r="F159" s="23" t="s">
        <v>25</v>
      </c>
      <c r="G159" s="23" t="s">
        <v>452</v>
      </c>
      <c r="H159" s="23" t="s">
        <v>190</v>
      </c>
      <c r="I159" s="18">
        <v>0.93200000000000005</v>
      </c>
      <c r="J159" s="18">
        <v>0.84499999999999997</v>
      </c>
      <c r="K159" s="18">
        <v>0.73799999999999999</v>
      </c>
      <c r="L159" s="18">
        <v>0.69099999999999995</v>
      </c>
      <c r="M159" s="18">
        <v>0.44600000000000001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"/>
      <c r="BF159" s="1"/>
      <c r="BG159" s="1"/>
      <c r="BH159" s="1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</row>
    <row r="160" spans="1:73" x14ac:dyDescent="0.25">
      <c r="A160" s="27">
        <v>43509</v>
      </c>
      <c r="B160" s="1"/>
      <c r="C160" s="1"/>
      <c r="D160" s="23"/>
      <c r="E160" s="38"/>
      <c r="F160" s="23"/>
      <c r="G160" s="23"/>
      <c r="H160" s="23"/>
      <c r="I160" s="12">
        <v>2</v>
      </c>
      <c r="J160" s="12">
        <v>4</v>
      </c>
      <c r="K160" s="12">
        <v>8</v>
      </c>
      <c r="L160" s="12">
        <v>16</v>
      </c>
      <c r="M160" s="12">
        <v>32</v>
      </c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"/>
      <c r="BF160" s="1"/>
      <c r="BG160" s="1"/>
      <c r="BH160" s="1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</row>
    <row r="161" spans="1:73" x14ac:dyDescent="0.25">
      <c r="A161" s="27">
        <v>43509</v>
      </c>
      <c r="B161" s="1" t="s">
        <v>160</v>
      </c>
      <c r="C161" s="1" t="s">
        <v>28</v>
      </c>
      <c r="D161" s="23">
        <v>2012</v>
      </c>
      <c r="E161" s="38">
        <v>2</v>
      </c>
      <c r="F161" s="23" t="s">
        <v>25</v>
      </c>
      <c r="G161" s="23" t="s">
        <v>454</v>
      </c>
      <c r="H161" s="23" t="s">
        <v>190</v>
      </c>
      <c r="I161" s="18">
        <v>0.92</v>
      </c>
      <c r="J161" s="18">
        <v>0.873</v>
      </c>
      <c r="K161" s="18">
        <v>0.73299999999999998</v>
      </c>
      <c r="L161" s="18">
        <v>0.82499999999999996</v>
      </c>
      <c r="M161" s="18">
        <v>0.746</v>
      </c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"/>
      <c r="BF161" s="1"/>
      <c r="BG161" s="1"/>
      <c r="BH161" s="1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</row>
    <row r="162" spans="1:73" x14ac:dyDescent="0.25">
      <c r="A162" s="27">
        <v>43509</v>
      </c>
      <c r="B162" s="1"/>
      <c r="C162" s="1"/>
      <c r="D162" s="23"/>
      <c r="E162" s="38"/>
      <c r="F162" s="23"/>
      <c r="G162" s="23"/>
      <c r="H162" s="23"/>
      <c r="I162" s="12">
        <v>2</v>
      </c>
      <c r="J162" s="12">
        <v>4</v>
      </c>
      <c r="K162" s="12">
        <v>8</v>
      </c>
      <c r="L162" s="12">
        <v>16</v>
      </c>
      <c r="M162" s="12">
        <v>32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"/>
      <c r="BF162" s="1"/>
      <c r="BG162" s="1"/>
      <c r="BH162" s="1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</row>
    <row r="163" spans="1:73" x14ac:dyDescent="0.25">
      <c r="A163" s="27">
        <v>43509</v>
      </c>
      <c r="B163" s="1" t="s">
        <v>160</v>
      </c>
      <c r="C163" s="1" t="s">
        <v>28</v>
      </c>
      <c r="D163" s="23">
        <v>2012</v>
      </c>
      <c r="E163" s="38">
        <v>2</v>
      </c>
      <c r="F163" s="23" t="s">
        <v>25</v>
      </c>
      <c r="G163" s="23" t="s">
        <v>455</v>
      </c>
      <c r="H163" s="23" t="s">
        <v>190</v>
      </c>
      <c r="I163" s="18">
        <v>0.95199999999999996</v>
      </c>
      <c r="J163" s="18">
        <v>0.82499999999999996</v>
      </c>
      <c r="K163" s="18">
        <v>0.69799999999999995</v>
      </c>
      <c r="L163" s="18">
        <v>0.65</v>
      </c>
      <c r="M163" s="18">
        <v>0.7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"/>
      <c r="BF163" s="1"/>
      <c r="BG163" s="1"/>
      <c r="BH163" s="1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</row>
    <row r="164" spans="1:73" x14ac:dyDescent="0.25">
      <c r="A164" s="27">
        <v>43903</v>
      </c>
      <c r="B164" s="1"/>
      <c r="C164" s="1"/>
      <c r="D164" s="23"/>
      <c r="E164" s="38"/>
      <c r="F164" s="23"/>
      <c r="G164" s="23"/>
      <c r="H164" s="23"/>
      <c r="I164" s="12">
        <v>157680000</v>
      </c>
      <c r="J164" s="12">
        <v>473040000</v>
      </c>
      <c r="K164" s="12">
        <v>788400000</v>
      </c>
      <c r="L164" s="12">
        <v>1103760000</v>
      </c>
      <c r="M164" s="12">
        <v>1419120000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"/>
      <c r="BF164" s="1"/>
      <c r="BG164" s="1"/>
      <c r="BH164" s="1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</row>
    <row r="165" spans="1:73" x14ac:dyDescent="0.25">
      <c r="A165" s="27">
        <v>43903</v>
      </c>
      <c r="B165" s="1" t="s">
        <v>300</v>
      </c>
      <c r="C165" s="1" t="s">
        <v>215</v>
      </c>
      <c r="D165" s="23">
        <v>1981</v>
      </c>
      <c r="E165" s="38">
        <v>1</v>
      </c>
      <c r="F165" s="23" t="s">
        <v>32</v>
      </c>
      <c r="G165" s="23" t="s">
        <v>197</v>
      </c>
      <c r="H165" s="23" t="s">
        <v>208</v>
      </c>
      <c r="I165" s="18">
        <v>0.48974110917159103</v>
      </c>
      <c r="J165" s="18">
        <v>0.37012555469094999</v>
      </c>
      <c r="K165" s="18">
        <v>0.39035310942396201</v>
      </c>
      <c r="L165" s="18">
        <v>0.44529853414372494</v>
      </c>
      <c r="M165" s="18">
        <v>0.51076363330459107</v>
      </c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"/>
      <c r="BF165" s="1"/>
      <c r="BG165" s="1"/>
      <c r="BH165" s="1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</row>
    <row r="166" spans="1:73" x14ac:dyDescent="0.25">
      <c r="A166" s="27">
        <v>43903</v>
      </c>
      <c r="B166" s="1"/>
      <c r="C166" s="1"/>
      <c r="D166" s="23"/>
      <c r="E166" s="38"/>
      <c r="F166" s="23"/>
      <c r="G166" s="23"/>
      <c r="H166" s="23"/>
      <c r="I166" s="12">
        <v>157680000</v>
      </c>
      <c r="J166" s="12">
        <v>473040000</v>
      </c>
      <c r="K166" s="12">
        <v>788400000</v>
      </c>
      <c r="L166" s="12">
        <v>1103760000</v>
      </c>
      <c r="M166" s="12">
        <v>1419120000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"/>
      <c r="BF166" s="1"/>
      <c r="BG166" s="1"/>
      <c r="BH166" s="1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</row>
    <row r="167" spans="1:73" x14ac:dyDescent="0.25">
      <c r="A167" s="27">
        <v>43903</v>
      </c>
      <c r="B167" s="1" t="s">
        <v>300</v>
      </c>
      <c r="C167" s="1" t="s">
        <v>215</v>
      </c>
      <c r="D167" s="23">
        <v>1981</v>
      </c>
      <c r="E167" s="38">
        <v>1</v>
      </c>
      <c r="F167" s="23" t="s">
        <v>32</v>
      </c>
      <c r="G167" s="23" t="s">
        <v>197</v>
      </c>
      <c r="H167" s="23" t="s">
        <v>202</v>
      </c>
      <c r="I167" s="18">
        <v>0.34776546299606698</v>
      </c>
      <c r="J167" s="18">
        <v>0.44006183095333201</v>
      </c>
      <c r="K167" s="18">
        <v>0.40718627100464699</v>
      </c>
      <c r="L167" s="18">
        <v>0.45739132263559595</v>
      </c>
      <c r="M167" s="18">
        <v>0.392451996887421</v>
      </c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"/>
      <c r="BF167" s="1"/>
      <c r="BG167" s="1"/>
      <c r="BH167" s="1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</row>
    <row r="168" spans="1:73" x14ac:dyDescent="0.25">
      <c r="A168" s="30">
        <v>43509</v>
      </c>
      <c r="B168" s="32"/>
      <c r="C168" s="32"/>
      <c r="D168" s="31"/>
      <c r="E168" s="44"/>
      <c r="F168" s="31"/>
      <c r="G168" s="31"/>
      <c r="H168" s="31"/>
      <c r="I168" s="35">
        <v>2.5</v>
      </c>
      <c r="J168" s="33">
        <v>5</v>
      </c>
      <c r="K168" s="33">
        <v>10</v>
      </c>
      <c r="L168" s="33">
        <v>20</v>
      </c>
      <c r="M168" s="33">
        <v>40</v>
      </c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"/>
      <c r="BF168" s="1"/>
      <c r="BG168" s="1"/>
      <c r="BH168" s="1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</row>
    <row r="169" spans="1:73" x14ac:dyDescent="0.25">
      <c r="A169" s="30">
        <v>43509</v>
      </c>
      <c r="B169" s="32" t="s">
        <v>161</v>
      </c>
      <c r="C169" s="32" t="s">
        <v>37</v>
      </c>
      <c r="D169" s="31">
        <v>1991</v>
      </c>
      <c r="E169" s="44">
        <v>1</v>
      </c>
      <c r="F169" s="31" t="s">
        <v>32</v>
      </c>
      <c r="G169" s="31" t="s">
        <v>456</v>
      </c>
      <c r="H169" s="31" t="s">
        <v>12</v>
      </c>
      <c r="I169" s="35">
        <v>0.77</v>
      </c>
      <c r="J169" s="35">
        <v>0.69299999999999995</v>
      </c>
      <c r="K169" s="35">
        <v>0.63200000000000001</v>
      </c>
      <c r="L169" s="35">
        <v>0.59499999999999997</v>
      </c>
      <c r="M169" s="35">
        <v>0.55000000000000004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"/>
      <c r="BF169" s="1"/>
      <c r="BG169" s="1"/>
      <c r="BH169" s="1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</row>
    <row r="170" spans="1:73" x14ac:dyDescent="0.25">
      <c r="A170" s="30">
        <v>43509</v>
      </c>
      <c r="B170" s="32"/>
      <c r="C170" s="32"/>
      <c r="D170" s="31"/>
      <c r="E170" s="44"/>
      <c r="F170" s="31"/>
      <c r="G170" s="31"/>
      <c r="H170" s="31"/>
      <c r="I170" s="35">
        <v>2.5</v>
      </c>
      <c r="J170" s="33">
        <v>5</v>
      </c>
      <c r="K170" s="33">
        <v>10</v>
      </c>
      <c r="L170" s="33">
        <v>20</v>
      </c>
      <c r="M170" s="33">
        <v>40</v>
      </c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"/>
      <c r="BF170" s="1"/>
      <c r="BG170" s="1"/>
      <c r="BH170" s="1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</row>
    <row r="171" spans="1:73" x14ac:dyDescent="0.25">
      <c r="A171" s="30">
        <v>43509</v>
      </c>
      <c r="B171" s="32" t="s">
        <v>161</v>
      </c>
      <c r="C171" s="32" t="s">
        <v>37</v>
      </c>
      <c r="D171" s="31">
        <v>1991</v>
      </c>
      <c r="E171" s="44">
        <v>1</v>
      </c>
      <c r="F171" s="31" t="s">
        <v>32</v>
      </c>
      <c r="G171" s="31" t="s">
        <v>457</v>
      </c>
      <c r="H171" s="31" t="s">
        <v>12</v>
      </c>
      <c r="I171" s="35">
        <v>0.57699999999999996</v>
      </c>
      <c r="J171" s="35">
        <v>0.52400000000000002</v>
      </c>
      <c r="K171" s="35">
        <v>0.47499999999999998</v>
      </c>
      <c r="L171" s="35">
        <v>0.41599999999999998</v>
      </c>
      <c r="M171" s="35">
        <v>0.40300000000000002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"/>
      <c r="BF171" s="1"/>
      <c r="BG171" s="1"/>
      <c r="BH171" s="1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</row>
    <row r="172" spans="1:73" x14ac:dyDescent="0.25">
      <c r="A172" s="27">
        <v>43509</v>
      </c>
      <c r="B172" s="1"/>
      <c r="C172" s="1"/>
      <c r="D172" s="23"/>
      <c r="E172" s="38"/>
      <c r="F172" s="23"/>
      <c r="G172" s="23"/>
      <c r="H172" s="23"/>
      <c r="I172" s="13">
        <v>6</v>
      </c>
      <c r="J172" s="13">
        <f>10*60</f>
        <v>600</v>
      </c>
      <c r="K172" s="13">
        <f>20*60</f>
        <v>1200</v>
      </c>
      <c r="L172" s="13">
        <f>40*60</f>
        <v>2400</v>
      </c>
      <c r="M172" s="13">
        <f>60*60</f>
        <v>3600</v>
      </c>
      <c r="N172" s="6">
        <f>120*60</f>
        <v>7200</v>
      </c>
      <c r="O172" s="1">
        <f>24*3600</f>
        <v>86400</v>
      </c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"/>
      <c r="BF172" s="1"/>
      <c r="BG172" s="1"/>
      <c r="BH172" s="1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</row>
    <row r="173" spans="1:73" x14ac:dyDescent="0.25">
      <c r="A173" s="27">
        <v>43509</v>
      </c>
      <c r="B173" s="1" t="s">
        <v>183</v>
      </c>
      <c r="C173" s="1" t="s">
        <v>176</v>
      </c>
      <c r="D173" s="23">
        <v>1941</v>
      </c>
      <c r="E173" s="38">
        <v>1</v>
      </c>
      <c r="F173" s="23" t="s">
        <v>17</v>
      </c>
      <c r="G173" s="23" t="s">
        <v>461</v>
      </c>
      <c r="H173" s="23" t="s">
        <v>174</v>
      </c>
      <c r="I173" s="18">
        <f>9.8/12</f>
        <v>0.81666666666666676</v>
      </c>
      <c r="J173" s="14">
        <f>9.47/12</f>
        <v>0.78916666666666668</v>
      </c>
      <c r="K173" s="14">
        <f>8.9/12</f>
        <v>0.7416666666666667</v>
      </c>
      <c r="L173" s="14">
        <f>7.63/12</f>
        <v>0.63583333333333336</v>
      </c>
      <c r="M173" s="14">
        <f>6.07/12</f>
        <v>0.50583333333333336</v>
      </c>
      <c r="N173" s="18">
        <f>3.87/12</f>
        <v>0.32250000000000001</v>
      </c>
      <c r="O173" s="18">
        <f>1.4/12</f>
        <v>0.11666666666666665</v>
      </c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"/>
      <c r="BF173" s="1"/>
      <c r="BG173" s="1"/>
      <c r="BH173" s="1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</row>
    <row r="174" spans="1:73" x14ac:dyDescent="0.25">
      <c r="A174" s="27">
        <v>43509</v>
      </c>
      <c r="B174" s="1"/>
      <c r="C174" s="1"/>
      <c r="D174" s="23"/>
      <c r="E174" s="38"/>
      <c r="F174" s="23"/>
      <c r="G174" s="23"/>
      <c r="H174" s="23"/>
      <c r="I174" s="13">
        <v>6</v>
      </c>
      <c r="J174" s="13">
        <f>10*60</f>
        <v>600</v>
      </c>
      <c r="K174" s="13">
        <f>20*60</f>
        <v>1200</v>
      </c>
      <c r="L174" s="13">
        <f>40*60</f>
        <v>2400</v>
      </c>
      <c r="M174" s="13">
        <f>60*60</f>
        <v>3600</v>
      </c>
      <c r="N174" s="6"/>
      <c r="O174" s="1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"/>
      <c r="BF174" s="1"/>
      <c r="BG174" s="1"/>
      <c r="BH174" s="1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</row>
    <row r="175" spans="1:73" x14ac:dyDescent="0.25">
      <c r="A175" s="27">
        <v>43509</v>
      </c>
      <c r="B175" s="1" t="s">
        <v>183</v>
      </c>
      <c r="C175" s="1" t="s">
        <v>176</v>
      </c>
      <c r="D175" s="23">
        <v>1941</v>
      </c>
      <c r="E175" s="38">
        <v>1</v>
      </c>
      <c r="F175" s="23" t="s">
        <v>17</v>
      </c>
      <c r="G175" s="23" t="s">
        <v>462</v>
      </c>
      <c r="H175" s="23" t="s">
        <v>174</v>
      </c>
      <c r="I175" s="18">
        <f>8.39/12</f>
        <v>0.69916666666666671</v>
      </c>
      <c r="J175" s="18">
        <f>5.07/12</f>
        <v>0.42250000000000004</v>
      </c>
      <c r="K175" s="18">
        <f>5.2/12</f>
        <v>0.43333333333333335</v>
      </c>
      <c r="L175" s="18">
        <f>4.67/12</f>
        <v>0.38916666666666666</v>
      </c>
      <c r="M175" s="18">
        <f>4.1/12</f>
        <v>0.34166666666666662</v>
      </c>
      <c r="N175" s="6"/>
      <c r="O175" s="1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"/>
      <c r="BF175" s="1"/>
      <c r="BG175" s="1"/>
      <c r="BH175" s="1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</row>
    <row r="176" spans="1:73" x14ac:dyDescent="0.25">
      <c r="A176" s="27">
        <v>43509</v>
      </c>
      <c r="B176" s="1"/>
      <c r="C176" s="1"/>
      <c r="D176" s="23"/>
      <c r="E176" s="38"/>
      <c r="F176" s="23"/>
      <c r="G176" s="23"/>
      <c r="H176" s="23"/>
      <c r="I176" s="13">
        <v>6</v>
      </c>
      <c r="J176" s="13">
        <f>10*60</f>
        <v>600</v>
      </c>
      <c r="K176" s="13">
        <f>20*60</f>
        <v>1200</v>
      </c>
      <c r="L176" s="13">
        <f>40*60</f>
        <v>2400</v>
      </c>
      <c r="M176" s="13">
        <f>60*60</f>
        <v>3600</v>
      </c>
      <c r="N176" s="6"/>
      <c r="O176" s="1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"/>
      <c r="BF176" s="1"/>
      <c r="BG176" s="1"/>
      <c r="BH176" s="1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</row>
    <row r="177" spans="1:73" x14ac:dyDescent="0.25">
      <c r="A177" s="27">
        <v>43509</v>
      </c>
      <c r="B177" s="1" t="s">
        <v>183</v>
      </c>
      <c r="C177" s="1" t="s">
        <v>176</v>
      </c>
      <c r="D177" s="23">
        <v>1941</v>
      </c>
      <c r="E177" s="38">
        <v>1</v>
      </c>
      <c r="F177" s="23" t="s">
        <v>17</v>
      </c>
      <c r="G177" s="23" t="s">
        <v>463</v>
      </c>
      <c r="H177" s="23" t="s">
        <v>174</v>
      </c>
      <c r="I177" s="18">
        <f>6.45/12</f>
        <v>0.53749999999999998</v>
      </c>
      <c r="J177" s="18">
        <f>4.17/12</f>
        <v>0.34749999999999998</v>
      </c>
      <c r="K177" s="18">
        <f>4.23/12</f>
        <v>0.35250000000000004</v>
      </c>
      <c r="L177" s="18">
        <f>3.5/12</f>
        <v>0.29166666666666669</v>
      </c>
      <c r="M177" s="18">
        <f>3.53/12</f>
        <v>0.29416666666666663</v>
      </c>
      <c r="N177" s="6"/>
      <c r="O177" s="1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"/>
      <c r="BF177" s="1"/>
      <c r="BG177" s="1"/>
      <c r="BH177" s="1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</row>
    <row r="178" spans="1:73" x14ac:dyDescent="0.25">
      <c r="A178" s="30">
        <v>43916</v>
      </c>
      <c r="B178" s="62"/>
      <c r="C178" s="62"/>
      <c r="D178" s="58"/>
      <c r="E178" s="65"/>
      <c r="F178" s="58"/>
      <c r="G178" s="58"/>
      <c r="H178" s="58"/>
      <c r="I178" s="33">
        <v>1</v>
      </c>
      <c r="J178" s="33">
        <v>4</v>
      </c>
      <c r="K178" s="33">
        <v>10</v>
      </c>
    </row>
    <row r="179" spans="1:73" x14ac:dyDescent="0.25">
      <c r="A179" s="30">
        <v>43916</v>
      </c>
      <c r="B179" s="48" t="s">
        <v>320</v>
      </c>
      <c r="C179" s="48" t="s">
        <v>319</v>
      </c>
      <c r="D179" s="46">
        <v>2009</v>
      </c>
      <c r="E179" s="44">
        <v>1</v>
      </c>
      <c r="F179" s="31" t="s">
        <v>321</v>
      </c>
      <c r="G179" s="31" t="s">
        <v>322</v>
      </c>
      <c r="H179" s="31" t="s">
        <v>436</v>
      </c>
      <c r="I179" s="35">
        <f>1-0.26</f>
        <v>0.74</v>
      </c>
      <c r="J179" s="35">
        <f>1-0.26</f>
        <v>0.74</v>
      </c>
      <c r="K179" s="35">
        <f>1-0.36</f>
        <v>0.64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</row>
    <row r="180" spans="1:73" x14ac:dyDescent="0.25">
      <c r="A180" s="30">
        <v>43916</v>
      </c>
      <c r="B180" s="62"/>
      <c r="C180" s="62"/>
      <c r="D180" s="58"/>
      <c r="E180" s="65"/>
      <c r="F180" s="58"/>
      <c r="G180" s="58"/>
      <c r="H180" s="58"/>
      <c r="I180" s="33">
        <v>1</v>
      </c>
      <c r="J180" s="33">
        <v>4</v>
      </c>
      <c r="K180" s="33">
        <v>10</v>
      </c>
    </row>
    <row r="181" spans="1:73" x14ac:dyDescent="0.25">
      <c r="A181" s="30">
        <v>43916</v>
      </c>
      <c r="B181" s="48" t="s">
        <v>320</v>
      </c>
      <c r="C181" s="48" t="s">
        <v>319</v>
      </c>
      <c r="D181" s="46">
        <v>2009</v>
      </c>
      <c r="E181" s="44">
        <v>1</v>
      </c>
      <c r="F181" s="31" t="s">
        <v>324</v>
      </c>
      <c r="G181" s="31" t="s">
        <v>323</v>
      </c>
      <c r="H181" s="31" t="s">
        <v>436</v>
      </c>
      <c r="I181" s="35">
        <f>1-0.4</f>
        <v>0.6</v>
      </c>
      <c r="J181" s="35">
        <f>1-0.42</f>
        <v>0.58000000000000007</v>
      </c>
      <c r="K181" s="35">
        <f>1-0.54</f>
        <v>0.45999999999999996</v>
      </c>
    </row>
  </sheetData>
  <conditionalFormatting sqref="E120:G120 E122:G122 E124:G124 E128:G128 E130:G130 E126:G126 E24:G24 E56:G56 E58:G58 E132:G132 B12:H12 B2:H2 B4:H4 E74:G74 B14:H14 E90:G90">
    <cfRule type="expression" dxfId="14" priority="62">
      <formula>MOD(ROW(),2)=1</formula>
    </cfRule>
  </conditionalFormatting>
  <conditionalFormatting sqref="H4">
    <cfRule type="expression" dxfId="13" priority="55">
      <formula>MOD(ROW(),2)=1</formula>
    </cfRule>
  </conditionalFormatting>
  <conditionalFormatting sqref="H24">
    <cfRule type="expression" dxfId="12" priority="51">
      <formula>MOD(ROW(),2)=1</formula>
    </cfRule>
  </conditionalFormatting>
  <conditionalFormatting sqref="H38 H40">
    <cfRule type="expression" dxfId="11" priority="49">
      <formula>MOD(ROW(),2)=1</formula>
    </cfRule>
  </conditionalFormatting>
  <conditionalFormatting sqref="H70">
    <cfRule type="expression" dxfId="10" priority="45">
      <formula>MOD(ROW(),2)=1</formula>
    </cfRule>
  </conditionalFormatting>
  <conditionalFormatting sqref="G90:H90">
    <cfRule type="expression" dxfId="9" priority="35">
      <formula>MOD(ROW(),2)=1</formula>
    </cfRule>
  </conditionalFormatting>
  <conditionalFormatting sqref="H56 H58">
    <cfRule type="expression" dxfId="8" priority="31">
      <formula>MOD(ROW(),2)=1</formula>
    </cfRule>
  </conditionalFormatting>
  <conditionalFormatting sqref="H12">
    <cfRule type="expression" dxfId="7" priority="32">
      <formula>MOD(ROW(),2)=1</formula>
    </cfRule>
  </conditionalFormatting>
  <conditionalFormatting sqref="H74">
    <cfRule type="expression" dxfId="6" priority="27">
      <formula>MOD(ROW(),2)=1</formula>
    </cfRule>
  </conditionalFormatting>
  <conditionalFormatting sqref="G14:H14">
    <cfRule type="expression" dxfId="5" priority="26">
      <formula>MOD(ROW(),2)=1</formula>
    </cfRule>
  </conditionalFormatting>
  <conditionalFormatting sqref="F14:G14">
    <cfRule type="expression" dxfId="4" priority="21">
      <formula>MOD(ROW(),2)=1</formula>
    </cfRule>
  </conditionalFormatting>
  <conditionalFormatting sqref="G22">
    <cfRule type="expression" dxfId="3" priority="15">
      <formula>MOD(ROW(),2)=1</formula>
    </cfRule>
  </conditionalFormatting>
  <conditionalFormatting sqref="B6:H6 B8:H8 B10:H10">
    <cfRule type="expression" dxfId="2" priority="3">
      <formula>MOD(ROW(),2)=1</formula>
    </cfRule>
  </conditionalFormatting>
  <conditionalFormatting sqref="H8">
    <cfRule type="expression" dxfId="1" priority="2">
      <formula>MOD(ROW(),2)=1</formula>
    </cfRule>
  </conditionalFormatting>
  <conditionalFormatting sqref="H10">
    <cfRule type="expression" dxfId="0" priority="1">
      <formula>MOD(ROW(),2)=1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Listing</vt:lpstr>
      <vt:lpstr>Data</vt:lpstr>
      <vt:lpstr>Trimmed Studies</vt:lpstr>
      <vt:lpstr>TrimmedData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Radvansky</dc:creator>
  <cp:lastModifiedBy>Gabriel Radvansky</cp:lastModifiedBy>
  <dcterms:created xsi:type="dcterms:W3CDTF">2020-03-23T15:12:30Z</dcterms:created>
  <dcterms:modified xsi:type="dcterms:W3CDTF">2021-05-30T15:52:30Z</dcterms:modified>
</cp:coreProperties>
</file>