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Survey_Methodology\People\Family Study\publications\external\Parenting Methods\Submission2\J_Fam_Psych\JFamPsych_Revisions\"/>
    </mc:Choice>
  </mc:AlternateContent>
  <xr:revisionPtr revIDLastSave="0" documentId="13_ncr:1_{FD29C9F2-5EC4-44A5-89F9-7A01C67C38CD}" xr6:coauthVersionLast="47" xr6:coauthVersionMax="47" xr10:uidLastSave="{00000000-0000-0000-0000-000000000000}"/>
  <bookViews>
    <workbookView xWindow="-120" yWindow="-120" windowWidth="29040" windowHeight="15720" xr2:uid="{5D71DE55-F2C6-4281-8E56-E79C10176AE8}"/>
  </bookViews>
  <sheets>
    <sheet name="SD1" sheetId="2" r:id="rId1"/>
    <sheet name="SD2" sheetId="4" r:id="rId2"/>
    <sheet name="SD3" sheetId="3" r:id="rId3"/>
    <sheet name="SD4" sheetId="5" r:id="rId4"/>
    <sheet name="SD5" sheetId="7" r:id="rId5"/>
    <sheet name="SD6" sheetId="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5" l="1"/>
  <c r="H30" i="5"/>
  <c r="G30" i="5"/>
  <c r="F30" i="5"/>
  <c r="E30" i="5"/>
  <c r="D30" i="5"/>
  <c r="I29" i="5"/>
  <c r="H29" i="5"/>
  <c r="G29" i="5"/>
  <c r="F29" i="5"/>
  <c r="E29" i="5"/>
  <c r="D29" i="5"/>
  <c r="I28" i="5"/>
  <c r="H28" i="5"/>
  <c r="G28" i="5"/>
  <c r="F28" i="5"/>
  <c r="E28" i="5"/>
  <c r="D28" i="5"/>
  <c r="I27" i="5"/>
  <c r="H27" i="5"/>
  <c r="G27" i="5"/>
  <c r="F27" i="5"/>
  <c r="E27" i="5"/>
  <c r="D27" i="5"/>
  <c r="I26" i="5"/>
  <c r="H26" i="5"/>
  <c r="G26" i="5"/>
  <c r="F26" i="5"/>
  <c r="E26" i="5"/>
  <c r="D26" i="5"/>
  <c r="I25" i="5"/>
  <c r="H25" i="5"/>
  <c r="G25" i="5"/>
  <c r="F25" i="5"/>
  <c r="E25" i="5"/>
  <c r="D25" i="5"/>
  <c r="I24" i="5"/>
  <c r="H24" i="5"/>
  <c r="G24" i="5"/>
  <c r="F24" i="5"/>
  <c r="E24" i="5"/>
  <c r="D24" i="5"/>
  <c r="I23" i="5"/>
  <c r="H23" i="5"/>
  <c r="G23" i="5"/>
  <c r="F23" i="5"/>
  <c r="E23" i="5"/>
  <c r="D23" i="5"/>
  <c r="I22" i="5"/>
  <c r="H22" i="5"/>
  <c r="G22" i="5"/>
  <c r="F22" i="5"/>
  <c r="E22" i="5"/>
  <c r="D22" i="5"/>
  <c r="I21" i="5"/>
  <c r="H21" i="5"/>
  <c r="G21" i="5"/>
  <c r="F21" i="5"/>
  <c r="E21" i="5"/>
  <c r="D21" i="5"/>
  <c r="I20" i="5"/>
  <c r="H20" i="5"/>
  <c r="G20" i="5"/>
  <c r="F20" i="5"/>
  <c r="E20" i="5"/>
  <c r="D20" i="5"/>
  <c r="I19" i="5"/>
  <c r="H19" i="5"/>
  <c r="G19" i="5"/>
  <c r="F19" i="5"/>
  <c r="E19" i="5"/>
  <c r="D19" i="5"/>
  <c r="I18" i="5"/>
  <c r="H18" i="5"/>
  <c r="G18" i="5"/>
  <c r="F18" i="5"/>
  <c r="E18" i="5"/>
  <c r="D18" i="5"/>
  <c r="I17" i="5"/>
  <c r="H17" i="5"/>
  <c r="G17" i="5"/>
  <c r="F17" i="5"/>
  <c r="E17" i="5"/>
  <c r="D17" i="5"/>
  <c r="I16" i="5"/>
  <c r="H16" i="5"/>
  <c r="G16" i="5"/>
  <c r="F16" i="5"/>
  <c r="E16" i="5"/>
  <c r="D16" i="5"/>
  <c r="I15" i="5"/>
  <c r="H15" i="5"/>
  <c r="G15" i="5"/>
  <c r="F15" i="5"/>
  <c r="E15" i="5"/>
  <c r="D15" i="5"/>
  <c r="I14" i="5"/>
  <c r="H14" i="5"/>
  <c r="G14" i="5"/>
  <c r="F14" i="5"/>
  <c r="E14" i="5"/>
  <c r="D14" i="5"/>
  <c r="I13" i="5"/>
  <c r="H13" i="5"/>
  <c r="G13" i="5"/>
  <c r="F13" i="5"/>
  <c r="E13" i="5"/>
  <c r="D13" i="5"/>
  <c r="I12" i="5"/>
  <c r="H12" i="5"/>
  <c r="G12" i="5"/>
  <c r="F12" i="5"/>
  <c r="E12" i="5"/>
  <c r="D12" i="5"/>
  <c r="I11" i="5"/>
  <c r="H11" i="5"/>
  <c r="G11" i="5"/>
  <c r="F11" i="5"/>
  <c r="E11" i="5"/>
  <c r="D11" i="5"/>
  <c r="I10" i="5"/>
  <c r="H10" i="5"/>
  <c r="G10" i="5"/>
  <c r="F10" i="5"/>
  <c r="E10" i="5"/>
  <c r="D10" i="5"/>
  <c r="I9" i="5"/>
  <c r="H9" i="5"/>
  <c r="G9" i="5"/>
  <c r="F9" i="5"/>
  <c r="E9" i="5"/>
  <c r="D9" i="5"/>
  <c r="I8" i="5"/>
  <c r="H8" i="5"/>
  <c r="G8" i="5"/>
  <c r="F8" i="5"/>
  <c r="E8" i="5"/>
  <c r="D8" i="5"/>
  <c r="I7" i="5"/>
  <c r="H7" i="5"/>
  <c r="G7" i="5"/>
  <c r="F7" i="5"/>
  <c r="E7" i="5"/>
  <c r="D7" i="5"/>
  <c r="I6" i="5"/>
  <c r="H6" i="5"/>
  <c r="G6" i="5"/>
  <c r="F6" i="5"/>
  <c r="E6" i="5"/>
  <c r="D6" i="5"/>
  <c r="H4" i="5"/>
  <c r="F4" i="5"/>
  <c r="D4" i="5"/>
  <c r="B4" i="5"/>
  <c r="P4" i="5"/>
  <c r="N4" i="5"/>
  <c r="L4" i="5"/>
  <c r="K30" i="5"/>
  <c r="J30" i="5"/>
  <c r="K29" i="5"/>
  <c r="J29" i="5"/>
  <c r="K28" i="5"/>
  <c r="J28" i="5"/>
  <c r="K27" i="5"/>
  <c r="J27" i="5"/>
  <c r="K26" i="5"/>
  <c r="J26" i="5"/>
  <c r="K25" i="5"/>
  <c r="J25" i="5"/>
  <c r="K24" i="5"/>
  <c r="J24" i="5"/>
  <c r="K23" i="5"/>
  <c r="J23" i="5"/>
  <c r="K22" i="5"/>
  <c r="J22" i="5"/>
  <c r="K21" i="5"/>
  <c r="J21" i="5"/>
  <c r="K20" i="5"/>
  <c r="J20" i="5"/>
  <c r="K19" i="5"/>
  <c r="J19" i="5"/>
  <c r="K18" i="5"/>
  <c r="J18" i="5"/>
  <c r="K17" i="5"/>
  <c r="J17" i="5"/>
  <c r="K16" i="5"/>
  <c r="J16" i="5"/>
  <c r="K15" i="5"/>
  <c r="J15" i="5"/>
  <c r="K14" i="5"/>
  <c r="J14" i="5"/>
  <c r="K13" i="5"/>
  <c r="J13" i="5"/>
  <c r="K12" i="5"/>
  <c r="J12" i="5"/>
  <c r="K11" i="5"/>
  <c r="J11" i="5"/>
  <c r="K10" i="5"/>
  <c r="J10" i="5"/>
  <c r="K9" i="5"/>
  <c r="J9" i="5"/>
  <c r="K8" i="5"/>
  <c r="J8" i="5"/>
  <c r="K7" i="5"/>
  <c r="J7" i="5"/>
  <c r="K6" i="5"/>
  <c r="J6" i="5"/>
  <c r="Q30" i="5"/>
  <c r="P30" i="5"/>
  <c r="O30" i="5"/>
  <c r="N30" i="5"/>
  <c r="M30" i="5"/>
  <c r="L30" i="5"/>
  <c r="Q29" i="5"/>
  <c r="P29" i="5"/>
  <c r="O29" i="5"/>
  <c r="N29" i="5"/>
  <c r="M29" i="5"/>
  <c r="L29" i="5"/>
  <c r="Q28" i="5"/>
  <c r="P28" i="5"/>
  <c r="O28" i="5"/>
  <c r="N28" i="5"/>
  <c r="M28" i="5"/>
  <c r="L28" i="5"/>
  <c r="Q27" i="5"/>
  <c r="P27" i="5"/>
  <c r="O27" i="5"/>
  <c r="N27" i="5"/>
  <c r="M27" i="5"/>
  <c r="L27" i="5"/>
  <c r="Q26" i="5"/>
  <c r="P26" i="5"/>
  <c r="O26" i="5"/>
  <c r="N26" i="5"/>
  <c r="M26" i="5"/>
  <c r="L26" i="5"/>
  <c r="Q25" i="5"/>
  <c r="P25" i="5"/>
  <c r="O25" i="5"/>
  <c r="N25" i="5"/>
  <c r="M25" i="5"/>
  <c r="L25" i="5"/>
  <c r="Q24" i="5"/>
  <c r="P24" i="5"/>
  <c r="O24" i="5"/>
  <c r="N24" i="5"/>
  <c r="M24" i="5"/>
  <c r="L24" i="5"/>
  <c r="Q23" i="5"/>
  <c r="P23" i="5"/>
  <c r="O23" i="5"/>
  <c r="N23" i="5"/>
  <c r="M23" i="5"/>
  <c r="L23" i="5"/>
  <c r="Q22" i="5"/>
  <c r="P22" i="5"/>
  <c r="O22" i="5"/>
  <c r="N22" i="5"/>
  <c r="M22" i="5"/>
  <c r="L22" i="5"/>
  <c r="Q21" i="5"/>
  <c r="P21" i="5"/>
  <c r="O21" i="5"/>
  <c r="N21" i="5"/>
  <c r="M21" i="5"/>
  <c r="L21" i="5"/>
  <c r="Q20" i="5"/>
  <c r="P20" i="5"/>
  <c r="O20" i="5"/>
  <c r="N20" i="5"/>
  <c r="M20" i="5"/>
  <c r="L20" i="5"/>
  <c r="Q19" i="5"/>
  <c r="P19" i="5"/>
  <c r="O19" i="5"/>
  <c r="N19" i="5"/>
  <c r="M19" i="5"/>
  <c r="L19" i="5"/>
  <c r="Q18" i="5"/>
  <c r="P18" i="5"/>
  <c r="O18" i="5"/>
  <c r="N18" i="5"/>
  <c r="M18" i="5"/>
  <c r="L18" i="5"/>
  <c r="Q17" i="5"/>
  <c r="P17" i="5"/>
  <c r="O17" i="5"/>
  <c r="N17" i="5"/>
  <c r="M17" i="5"/>
  <c r="L17" i="5"/>
  <c r="Q16" i="5"/>
  <c r="P16" i="5"/>
  <c r="O16" i="5"/>
  <c r="N16" i="5"/>
  <c r="M16" i="5"/>
  <c r="L16" i="5"/>
  <c r="Q15" i="5"/>
  <c r="P15" i="5"/>
  <c r="O15" i="5"/>
  <c r="N15" i="5"/>
  <c r="M15" i="5"/>
  <c r="L15" i="5"/>
  <c r="Q14" i="5"/>
  <c r="P14" i="5"/>
  <c r="O14" i="5"/>
  <c r="N14" i="5"/>
  <c r="M14" i="5"/>
  <c r="L14" i="5"/>
  <c r="Q13" i="5"/>
  <c r="P13" i="5"/>
  <c r="O13" i="5"/>
  <c r="N13" i="5"/>
  <c r="M13" i="5"/>
  <c r="L13" i="5"/>
  <c r="Q12" i="5"/>
  <c r="P12" i="5"/>
  <c r="O12" i="5"/>
  <c r="N12" i="5"/>
  <c r="M12" i="5"/>
  <c r="L12" i="5"/>
  <c r="Q11" i="5"/>
  <c r="P11" i="5"/>
  <c r="O11" i="5"/>
  <c r="N11" i="5"/>
  <c r="M11" i="5"/>
  <c r="L11" i="5"/>
  <c r="Q10" i="5"/>
  <c r="P10" i="5"/>
  <c r="O10" i="5"/>
  <c r="N10" i="5"/>
  <c r="M10" i="5"/>
  <c r="L10" i="5"/>
  <c r="Q9" i="5"/>
  <c r="P9" i="5"/>
  <c r="O9" i="5"/>
  <c r="N9" i="5"/>
  <c r="M9" i="5"/>
  <c r="L9" i="5"/>
  <c r="Q8" i="5"/>
  <c r="P8" i="5"/>
  <c r="O8" i="5"/>
  <c r="N8" i="5"/>
  <c r="M8" i="5"/>
  <c r="L8" i="5"/>
  <c r="Q7" i="5"/>
  <c r="P7" i="5"/>
  <c r="O7" i="5"/>
  <c r="N7" i="5"/>
  <c r="M7" i="5"/>
  <c r="L7" i="5"/>
  <c r="Q6" i="5"/>
  <c r="P6" i="5"/>
  <c r="O6" i="5"/>
  <c r="N6" i="5"/>
  <c r="M6" i="5"/>
  <c r="L6" i="5"/>
  <c r="J4" i="5"/>
  <c r="A33" i="5"/>
  <c r="C30" i="5"/>
  <c r="B30" i="5"/>
  <c r="A30" i="5"/>
  <c r="C29" i="5"/>
  <c r="B29" i="5"/>
  <c r="A29" i="5"/>
  <c r="C28" i="5"/>
  <c r="B28" i="5"/>
  <c r="A28" i="5"/>
  <c r="C27" i="5"/>
  <c r="B27" i="5"/>
  <c r="A27" i="5"/>
  <c r="C26" i="5"/>
  <c r="B26" i="5"/>
  <c r="C25" i="5"/>
  <c r="B25" i="5"/>
  <c r="A25" i="5"/>
  <c r="C24" i="5"/>
  <c r="B24" i="5"/>
  <c r="C23" i="5"/>
  <c r="B23" i="5"/>
  <c r="A23" i="5"/>
  <c r="C22" i="5"/>
  <c r="B22" i="5"/>
  <c r="C21" i="5"/>
  <c r="B21" i="5"/>
  <c r="A21" i="5"/>
  <c r="C20" i="5"/>
  <c r="B20" i="5"/>
  <c r="C19" i="5"/>
  <c r="B19" i="5"/>
  <c r="A19" i="5"/>
  <c r="C18" i="5"/>
  <c r="B18" i="5"/>
  <c r="C17" i="5"/>
  <c r="B17" i="5"/>
  <c r="A17" i="5"/>
  <c r="C16" i="5"/>
  <c r="B16" i="5"/>
  <c r="C15" i="5"/>
  <c r="B15" i="5"/>
  <c r="A15" i="5"/>
  <c r="C14" i="5"/>
  <c r="B14" i="5"/>
  <c r="C13" i="5"/>
  <c r="B13" i="5"/>
  <c r="A13" i="5"/>
  <c r="C12" i="5"/>
  <c r="B12" i="5"/>
  <c r="C11" i="5"/>
  <c r="B11" i="5"/>
  <c r="A11" i="5"/>
  <c r="C10" i="5"/>
  <c r="B10" i="5"/>
  <c r="C9" i="5"/>
  <c r="B9" i="5"/>
  <c r="A9" i="5"/>
  <c r="C8" i="5"/>
  <c r="B8" i="5"/>
  <c r="C7" i="5"/>
  <c r="B7" i="5"/>
  <c r="A7" i="5"/>
  <c r="C6" i="5"/>
  <c r="B6" i="5"/>
  <c r="A2" i="5"/>
  <c r="A70" i="1" l="1"/>
  <c r="BA69" i="1"/>
  <c r="AZ69" i="1"/>
  <c r="AY69"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E69" i="1"/>
  <c r="D69" i="1"/>
  <c r="C69" i="1"/>
  <c r="B69" i="1"/>
  <c r="A69" i="1"/>
  <c r="BA68" i="1"/>
  <c r="AZ68" i="1"/>
  <c r="AY68" i="1"/>
  <c r="AX68" i="1"/>
  <c r="AW68" i="1"/>
  <c r="AV68" i="1"/>
  <c r="AU68"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C68" i="1"/>
  <c r="B68" i="1"/>
  <c r="A68" i="1"/>
  <c r="BA67" i="1"/>
  <c r="AZ67" i="1"/>
  <c r="AY67" i="1"/>
  <c r="AX67" i="1"/>
  <c r="AW67" i="1"/>
  <c r="AV67" i="1"/>
  <c r="AU67" i="1"/>
  <c r="AT67" i="1"/>
  <c r="AS67" i="1"/>
  <c r="AR67" i="1"/>
  <c r="AQ67" i="1"/>
  <c r="AP67" i="1"/>
  <c r="AO67"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E67" i="1"/>
  <c r="D67" i="1"/>
  <c r="C67" i="1"/>
  <c r="B67" i="1"/>
  <c r="A67" i="1"/>
  <c r="BA66" i="1"/>
  <c r="AZ66" i="1"/>
  <c r="AY66" i="1"/>
  <c r="AX66"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E66" i="1"/>
  <c r="D66" i="1"/>
  <c r="C66" i="1"/>
  <c r="B66" i="1"/>
  <c r="A66" i="1"/>
  <c r="BA65" i="1"/>
  <c r="AZ65" i="1"/>
  <c r="AY65" i="1"/>
  <c r="AX65" i="1"/>
  <c r="AW65" i="1"/>
  <c r="AV65" i="1"/>
  <c r="AU65" i="1"/>
  <c r="AT65" i="1"/>
  <c r="AS65" i="1"/>
  <c r="AR65" i="1"/>
  <c r="AQ65" i="1"/>
  <c r="AP65"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B65" i="1"/>
  <c r="A65" i="1"/>
  <c r="BA64" i="1"/>
  <c r="AZ64" i="1"/>
  <c r="AY64"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E64" i="1"/>
  <c r="D64" i="1"/>
  <c r="C64" i="1"/>
  <c r="B64" i="1"/>
  <c r="A64" i="1"/>
  <c r="BA63" i="1"/>
  <c r="AZ63" i="1"/>
  <c r="AY63"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E63" i="1"/>
  <c r="D63" i="1"/>
  <c r="C63" i="1"/>
  <c r="B63" i="1"/>
  <c r="A63"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B62" i="1"/>
  <c r="A62" i="1"/>
  <c r="BA61" i="1"/>
  <c r="AZ61" i="1"/>
  <c r="AY61"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B61" i="1"/>
  <c r="A61"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B60" i="1"/>
  <c r="A60"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B59" i="1"/>
  <c r="A59" i="1"/>
  <c r="BA58" i="1"/>
  <c r="AZ58" i="1"/>
  <c r="AY58"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B58" i="1"/>
  <c r="A58"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B57" i="1"/>
  <c r="A57" i="1"/>
  <c r="BA56" i="1"/>
  <c r="AZ56" i="1"/>
  <c r="AY56"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C56" i="1"/>
  <c r="B56" i="1"/>
  <c r="A56" i="1"/>
  <c r="BA55" i="1"/>
  <c r="AZ55" i="1"/>
  <c r="AY55"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E55" i="1"/>
  <c r="D55" i="1"/>
  <c r="C55" i="1"/>
  <c r="B55" i="1"/>
  <c r="A55" i="1"/>
  <c r="BA54" i="1"/>
  <c r="AZ54" i="1"/>
  <c r="AY54" i="1"/>
  <c r="AX54"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B54" i="1"/>
  <c r="A54"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B53" i="1"/>
  <c r="A53"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C52" i="1"/>
  <c r="B52" i="1"/>
  <c r="A52" i="1"/>
  <c r="BA51" i="1"/>
  <c r="AZ51" i="1"/>
  <c r="AY51"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C51" i="1"/>
  <c r="B51" i="1"/>
  <c r="A51"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B50" i="1"/>
  <c r="A50"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C49" i="1"/>
  <c r="B49" i="1"/>
  <c r="A49" i="1"/>
  <c r="BA48" i="1"/>
  <c r="AZ48" i="1"/>
  <c r="AY48"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B48" i="1"/>
  <c r="A48"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B47" i="1"/>
  <c r="A47"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B46" i="1"/>
  <c r="A46" i="1"/>
  <c r="BA45" i="1"/>
  <c r="AZ45" i="1"/>
  <c r="AY45"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B45" i="1"/>
  <c r="A45"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B44" i="1"/>
  <c r="A44"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B43" i="1"/>
  <c r="A43" i="1"/>
  <c r="BA42" i="1"/>
  <c r="AZ42" i="1"/>
  <c r="AY42" i="1"/>
  <c r="AX42"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B42" i="1"/>
  <c r="A42" i="1"/>
  <c r="BA41" i="1"/>
  <c r="AZ41" i="1"/>
  <c r="AY41"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B41" i="1"/>
  <c r="A41"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B40" i="1"/>
  <c r="A40"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B39" i="1"/>
  <c r="A39" i="1"/>
  <c r="BA38" i="1"/>
  <c r="AZ38" i="1"/>
  <c r="AY38" i="1"/>
  <c r="AX38"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B38" i="1"/>
  <c r="A38"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37" i="1"/>
  <c r="A37"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B36" i="1"/>
  <c r="A36" i="1"/>
  <c r="BA35" i="1"/>
  <c r="AZ35" i="1"/>
  <c r="AY35"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B35" i="1"/>
  <c r="A35" i="1"/>
  <c r="BA34" i="1"/>
  <c r="AZ34" i="1"/>
  <c r="AY34" i="1"/>
  <c r="AX34" i="1"/>
  <c r="AW34" i="1"/>
  <c r="AV34" i="1"/>
  <c r="AU34" i="1"/>
  <c r="AT34"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B34" i="1"/>
  <c r="A34"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B33" i="1"/>
  <c r="A33" i="1"/>
  <c r="BA32" i="1"/>
  <c r="AZ32" i="1"/>
  <c r="AY32" i="1"/>
  <c r="AX32"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B32" i="1"/>
  <c r="A32" i="1"/>
  <c r="BA31" i="1"/>
  <c r="AZ31" i="1"/>
  <c r="AY31" i="1"/>
  <c r="AX31" i="1"/>
  <c r="AW31" i="1"/>
  <c r="AV31" i="1"/>
  <c r="AU31" i="1"/>
  <c r="AT31" i="1"/>
  <c r="AS31" i="1"/>
  <c r="AR31" i="1"/>
  <c r="AQ31" i="1"/>
  <c r="AP31"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B31" i="1"/>
  <c r="A31" i="1"/>
  <c r="BA30" i="1"/>
  <c r="AZ30" i="1"/>
  <c r="AY30" i="1"/>
  <c r="AX30"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B30" i="1"/>
  <c r="A30" i="1"/>
  <c r="BA29" i="1"/>
  <c r="AZ29" i="1"/>
  <c r="AY29"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B29" i="1"/>
  <c r="A29"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B28" i="1"/>
  <c r="A28"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B27" i="1"/>
  <c r="A27" i="1"/>
  <c r="BA26" i="1"/>
  <c r="AZ26" i="1"/>
  <c r="AY26" i="1"/>
  <c r="AX26" i="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B26" i="1"/>
  <c r="A26"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B25" i="1"/>
  <c r="A25"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B24" i="1"/>
  <c r="A24" i="1"/>
  <c r="BA23" i="1"/>
  <c r="AZ23" i="1"/>
  <c r="AY23" i="1"/>
  <c r="AX23" i="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C23" i="1"/>
  <c r="B23" i="1"/>
  <c r="A23" i="1"/>
  <c r="BA22" i="1"/>
  <c r="AZ22" i="1"/>
  <c r="AY22" i="1"/>
  <c r="AX22" i="1"/>
  <c r="AW22" i="1"/>
  <c r="AV22" i="1"/>
  <c r="AU22" i="1"/>
  <c r="AT22" i="1"/>
  <c r="AS22" i="1"/>
  <c r="AR22" i="1"/>
  <c r="AQ22" i="1"/>
  <c r="AP22" i="1"/>
  <c r="AO22"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E22" i="1"/>
  <c r="D22" i="1"/>
  <c r="C22" i="1"/>
  <c r="B22" i="1"/>
  <c r="A22" i="1"/>
  <c r="BA21" i="1"/>
  <c r="AZ21" i="1"/>
  <c r="AY21"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C21" i="1"/>
  <c r="B21" i="1"/>
  <c r="A21" i="1"/>
  <c r="BA20" i="1"/>
  <c r="AZ20" i="1"/>
  <c r="AY20"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B20" i="1"/>
  <c r="A20" i="1"/>
  <c r="BA19" i="1"/>
  <c r="AZ19" i="1"/>
  <c r="AY19"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B19" i="1"/>
  <c r="A19"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A18" i="1"/>
  <c r="BA17" i="1"/>
  <c r="AZ17" i="1"/>
  <c r="AY17"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A17"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B16" i="1"/>
  <c r="A16"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B15" i="1"/>
  <c r="A15" i="1"/>
  <c r="BA14" i="1"/>
  <c r="AZ14" i="1"/>
  <c r="AY14"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B14" i="1"/>
  <c r="A14"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A13"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A12"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A11"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A10"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A9"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 r="BA6" i="1"/>
  <c r="AZ6" i="1"/>
  <c r="AY6"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BA4" i="1"/>
  <c r="AZ4" i="1"/>
  <c r="AY4" i="1"/>
  <c r="AX4" i="1"/>
  <c r="AW4" i="1"/>
  <c r="AV4" i="1"/>
  <c r="AU4" i="1"/>
  <c r="AT4" i="1"/>
  <c r="BA3" i="1"/>
  <c r="AZ3" i="1"/>
  <c r="AY3"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B3" i="1"/>
  <c r="A3" i="1"/>
  <c r="BA2" i="1"/>
  <c r="AZ2" i="1"/>
  <c r="AY2" i="1"/>
  <c r="AX2" i="1"/>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R2" i="1"/>
  <c r="Q2" i="1"/>
  <c r="P2" i="1"/>
  <c r="O2" i="1"/>
  <c r="N2" i="1"/>
  <c r="M2" i="1"/>
  <c r="L2" i="1"/>
  <c r="K2" i="1"/>
  <c r="J2" i="1"/>
  <c r="I2" i="1"/>
  <c r="H2" i="1"/>
  <c r="G2" i="1"/>
  <c r="F2" i="1"/>
  <c r="E2" i="1"/>
  <c r="D2" i="1"/>
  <c r="C2" i="1"/>
  <c r="B2" i="1"/>
  <c r="A2" i="1"/>
</calcChain>
</file>

<file path=xl/sharedStrings.xml><?xml version="1.0" encoding="utf-8"?>
<sst xmlns="http://schemas.openxmlformats.org/spreadsheetml/2006/main" count="295" uniqueCount="143">
  <si>
    <t>I encourage my child to talk about their feelings or problems</t>
  </si>
  <si>
    <t>I often joke and play with my child</t>
  </si>
  <si>
    <t>I apologize if I act unfairly or too harshly toward my child</t>
  </si>
  <si>
    <t>I respond quickly to my child's needs</t>
  </si>
  <si>
    <t>I consider my child's preferences before making decisions that affect them</t>
  </si>
  <si>
    <t xml:space="preserve">I encourage my child to think of others </t>
  </si>
  <si>
    <t>I hug or kiss my child every day</t>
  </si>
  <si>
    <t>I teach my child to do the right thing, even when it is hard</t>
  </si>
  <si>
    <t>I am usually easy going and relaxed when with my child</t>
  </si>
  <si>
    <t>I don’t always follow through on punishments</t>
  </si>
  <si>
    <t>I find it difficult to discipline my child</t>
  </si>
  <si>
    <t>I have a hard time saying “no” to my child</t>
  </si>
  <si>
    <t>My child often gets their way when we have a conflict</t>
  </si>
  <si>
    <t>I set well-established rules for my child.</t>
  </si>
  <si>
    <t>My child completes the priorities I set for them before they are allowed to play or relax</t>
  </si>
  <si>
    <t>Which word or phrase below best describes the overall quality of your relationship with this child?</t>
  </si>
  <si>
    <t>I share an affectionate, warm relationship with my child</t>
  </si>
  <si>
    <t>My child easily becomes angry at me</t>
  </si>
  <si>
    <t xml:space="preserve"> I argue frequently with my child</t>
  </si>
  <si>
    <t>On a scale of 0-10, where 0 is the weakest and least loving relationship you can imagine, and 10 is the strongest and most loving, how would you rate your relationship with your parents or the people who take care of you the most</t>
  </si>
  <si>
    <t>How would you describe the overall quality of the relationship between your child and the other parental figure you just identified?</t>
  </si>
  <si>
    <t xml:space="preserve">How often do you feel safe and protected? </t>
  </si>
  <si>
    <t>="* p&lt;0.05</t>
  </si>
  <si>
    <t xml:space="preserve"> ** p&lt;0.01</t>
  </si>
  <si>
    <t xml:space="preserve"> *** p&lt;0.001"</t>
  </si>
  <si>
    <t>Parent is Black (reference is White parent)</t>
  </si>
  <si>
    <t>Parent is Hispanic (reference is White parent)</t>
  </si>
  <si>
    <t>text</t>
  </si>
  <si>
    <t>var</t>
  </si>
  <si>
    <t>black factor1</t>
  </si>
  <si>
    <t>black factor2</t>
  </si>
  <si>
    <t>black loadf1</t>
  </si>
  <si>
    <t>black loadf2</t>
  </si>
  <si>
    <t>black load0</t>
  </si>
  <si>
    <t>hispanic factor1</t>
  </si>
  <si>
    <t>hispanic factor2</t>
  </si>
  <si>
    <t>hispanic loadf1</t>
  </si>
  <si>
    <t>hispanic loadf2</t>
  </si>
  <si>
    <t>hispanic load0</t>
  </si>
  <si>
    <t>pooled factor1</t>
  </si>
  <si>
    <t>pooled factor2</t>
  </si>
  <si>
    <t>pooled loadf1</t>
  </si>
  <si>
    <t>pooled loadf2</t>
  </si>
  <si>
    <t>pooled load0</t>
  </si>
  <si>
    <t>white factor1</t>
  </si>
  <si>
    <t>white factor2</t>
  </si>
  <si>
    <t>white loadf1</t>
  </si>
  <si>
    <t>white loadf2</t>
  </si>
  <si>
    <t>white load0</t>
  </si>
  <si>
    <t>B10_1</t>
  </si>
  <si>
    <t>parenting</t>
  </si>
  <si>
    <t>Physical punishment, such as spanking is sometimes necessary</t>
  </si>
  <si>
    <t>B10_10</t>
  </si>
  <si>
    <t>My child doesn’t need to understand the reasons for my rules</t>
  </si>
  <si>
    <t>B10_11</t>
  </si>
  <si>
    <t>I give my child clear commands</t>
  </si>
  <si>
    <t>B10_12</t>
  </si>
  <si>
    <t>B10_13</t>
  </si>
  <si>
    <t>B10_14</t>
  </si>
  <si>
    <t>B10_15</t>
  </si>
  <si>
    <t>B10_16</t>
  </si>
  <si>
    <t>B10_17</t>
  </si>
  <si>
    <t>B10_18</t>
  </si>
  <si>
    <t>B10_19</t>
  </si>
  <si>
    <t>B10_2</t>
  </si>
  <si>
    <t>B10_21</t>
  </si>
  <si>
    <t>B10_3</t>
  </si>
  <si>
    <t>B10_4</t>
  </si>
  <si>
    <t>B10_5</t>
  </si>
  <si>
    <t>B10_6</t>
  </si>
  <si>
    <t>B10_7</t>
  </si>
  <si>
    <t>I argue frequently with my child</t>
  </si>
  <si>
    <t>B10_8</t>
  </si>
  <si>
    <t>relationship</t>
  </si>
  <si>
    <t>It is important to point out my child's mistakes so they learn</t>
  </si>
  <si>
    <t>B10_9</t>
  </si>
  <si>
    <t>B11A</t>
  </si>
  <si>
    <t>B11B</t>
  </si>
  <si>
    <t>During a typical school day, my child follows a regular routine</t>
  </si>
  <si>
    <t>B11C</t>
  </si>
  <si>
    <t>I restrict screen time (such as TV, tablet or phone) to certain times of the day</t>
  </si>
  <si>
    <t>B11F</t>
  </si>
  <si>
    <t>B6_overall_parent_ch</t>
  </si>
  <si>
    <t>B9_relationship_othe</t>
  </si>
  <si>
    <t>C19_parent_love</t>
  </si>
  <si>
    <t>C24_safety</t>
  </si>
  <si>
    <t>Do you live or have you lived with someone who struggles with drug or alcohol abuse?</t>
  </si>
  <si>
    <t>YC20_alcohol</t>
  </si>
  <si>
    <t>Do you live or have you lived with someone who is frequently angry?</t>
  </si>
  <si>
    <t>YC21_angry</t>
  </si>
  <si>
    <t xml:space="preserve">Has a parent who had been living with you, stopped living with you? </t>
  </si>
  <si>
    <t>YC23_left</t>
  </si>
  <si>
    <t>Have you ever felt rejected or abandoned by your biological father or biological mother?</t>
  </si>
  <si>
    <t>YC23a_rejection</t>
  </si>
  <si>
    <t>factor category</t>
  </si>
  <si>
    <t>group</t>
  </si>
  <si>
    <t>black</t>
  </si>
  <si>
    <t>hispanic</t>
  </si>
  <si>
    <t>pooled</t>
  </si>
  <si>
    <t>white</t>
  </si>
  <si>
    <t>Eigenvalue for factor 1</t>
  </si>
  <si>
    <t>Eigenvalue for factor 2</t>
  </si>
  <si>
    <t>Share of total variance from factor 1</t>
  </si>
  <si>
    <t>Share of total variance from factor 2</t>
  </si>
  <si>
    <t>construct category</t>
  </si>
  <si>
    <t>Supplemental Data 2. Rotated Factor Loadings for Black, Hispanic, White, and Pooled Sample for Relationship Items</t>
  </si>
  <si>
    <t>Supplemental Data 1. Rotated Factor Loadings for Black, Hispanic, White, and Pooled Sample for Parenting Items</t>
  </si>
  <si>
    <t>Supplemental Data 3. Eigenvalues by group and for pooled sample for principle factor analysis for parenting items and for relationship items. Values are calculated before rotation.</t>
  </si>
  <si>
    <t>Child is male (reference is female)</t>
  </si>
  <si>
    <t>Age 13</t>
  </si>
  <si>
    <t>Age 14</t>
  </si>
  <si>
    <t>Age 15</t>
  </si>
  <si>
    <t>Age 16</t>
  </si>
  <si>
    <t>Age 17</t>
  </si>
  <si>
    <t>Age 18 (ref is 19)</t>
  </si>
  <si>
    <t>Supplemental Data 4. Predicted adolescent mental health and parent-child relationship quality in a pooled sample using group-specific and general factor structure</t>
  </si>
  <si>
    <t>Responsiveness index</t>
  </si>
  <si>
    <t>Demandingness index</t>
  </si>
  <si>
    <t>Absence of traumatic experiences index</t>
  </si>
  <si>
    <t>Relationship quality index</t>
  </si>
  <si>
    <t>Scales are calculated using pooled factor analysis</t>
  </si>
  <si>
    <t>Scales are calculated using group-specific factor analysis</t>
  </si>
  <si>
    <t>Relationship quality</t>
  </si>
  <si>
    <t>Biological parents, using parent weight</t>
  </si>
  <si>
    <t>Non-biological parents, using parent weight</t>
  </si>
  <si>
    <t>Non-biological parents and non-relatives, using parent weight</t>
  </si>
  <si>
    <t>Non-biological parents and non-relatives, using adolescent weight</t>
  </si>
  <si>
    <t>1. Mental health index</t>
  </si>
  <si>
    <t>2. Responsiveness</t>
  </si>
  <si>
    <t>3. Demandingness</t>
  </si>
  <si>
    <t>4. No adverse experiences</t>
  </si>
  <si>
    <t>5. Relationship-quality</t>
  </si>
  <si>
    <t>Note: The effective sample size is reported below each correlation coefficient</t>
  </si>
  <si>
    <t>All respondents, using adolescent weight</t>
  </si>
  <si>
    <t>All respondents, using parent weight</t>
  </si>
  <si>
    <t>Supplemental Data 5. Detailed correlation coefficients between adolescent mental health index, parenting practices, adverse experiences, and overall parent-child relationship quality for pooled sample and within biological and non-biological dyads</t>
  </si>
  <si>
    <t>Supplemental Data 6. Logistic regression of item affirmation on group member and latent variable (defined separately for each group). The first column for each item tests for uniform DIF and the interaction tests for non-uniform DIF for each of the four scales.</t>
  </si>
  <si>
    <t>Black</t>
  </si>
  <si>
    <t>Hispanic</t>
  </si>
  <si>
    <t>White</t>
  </si>
  <si>
    <t>Pooled</t>
  </si>
  <si>
    <t>Sample Size</t>
  </si>
  <si>
    <t>Standard errors in parentheses, * p&lt;0.05,  ** p&lt;0.01,  *** p&lt;0.001. Sample size is smaller for the pooled analysis for Black respondents because of missing data on traumatic experiences.  Pooled sample size is smaller in group-specific analysis because Asian, other race, and multiracial children are excluded from the analysis, since the sample was not large enough to run group-specific factor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</si>
</sst>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b/>
      <sz val="11"/>
      <color theme="1"/>
      <name val="Aptos Narrow"/>
      <family val="2"/>
      <scheme val="minor"/>
    </font>
    <font>
      <sz val="11"/>
      <color theme="1"/>
      <name val="Times New Roman"/>
      <family val="1"/>
    </font>
    <font>
      <sz val="11"/>
      <color theme="1"/>
      <name val="Aptos Narrow"/>
      <family val="2"/>
      <scheme val="minor"/>
    </font>
    <font>
      <b/>
      <sz val="11"/>
      <color theme="1"/>
      <name val="Times New Roman"/>
      <family val="1"/>
    </font>
    <font>
      <b/>
      <sz val="11"/>
      <color rgb="FF000000"/>
      <name val="Times New Roman"/>
      <family val="1"/>
    </font>
    <font>
      <b/>
      <i/>
      <sz val="11"/>
      <color theme="1"/>
      <name val="Aptos Narrow"/>
      <family val="2"/>
      <scheme val="minor"/>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diagonal/>
    </border>
    <border>
      <left style="thin">
        <color auto="1"/>
      </left>
      <right/>
      <top/>
      <bottom/>
      <diagonal/>
    </border>
    <border>
      <left style="thin">
        <color auto="1"/>
      </left>
      <right/>
      <top style="thin">
        <color auto="1"/>
      </top>
      <bottom/>
      <diagonal/>
    </border>
  </borders>
  <cellStyleXfs count="2">
    <xf numFmtId="0" fontId="0" fillId="0" borderId="0"/>
    <xf numFmtId="9" fontId="3" fillId="0" borderId="0" applyFont="0" applyFill="0" applyBorder="0" applyAlignment="0" applyProtection="0"/>
  </cellStyleXfs>
  <cellXfs count="37">
    <xf numFmtId="0" fontId="0" fillId="0" borderId="0" xfId="0"/>
    <xf numFmtId="0" fontId="2" fillId="0" borderId="0" xfId="0" applyFont="1"/>
    <xf numFmtId="0" fontId="0" fillId="0" borderId="0" xfId="0" applyAlignment="1">
      <alignment wrapText="1"/>
    </xf>
    <xf numFmtId="0" fontId="0" fillId="0" borderId="1" xfId="0" applyBorder="1"/>
    <xf numFmtId="0" fontId="0" fillId="0" borderId="0" xfId="0" applyAlignment="1">
      <alignment horizontal="center"/>
    </xf>
    <xf numFmtId="9" fontId="0" fillId="0" borderId="0" xfId="1" applyFont="1" applyAlignment="1">
      <alignment horizontal="center"/>
    </xf>
    <xf numFmtId="9" fontId="0" fillId="0" borderId="1" xfId="1" applyFont="1" applyBorder="1" applyAlignment="1">
      <alignment horizontal="center"/>
    </xf>
    <xf numFmtId="164" fontId="0" fillId="0" borderId="0" xfId="0" applyNumberFormat="1" applyAlignment="1">
      <alignment horizontal="center"/>
    </xf>
    <xf numFmtId="164" fontId="0" fillId="0" borderId="1" xfId="0" applyNumberFormat="1" applyBorder="1" applyAlignment="1">
      <alignment horizontal="center"/>
    </xf>
    <xf numFmtId="1" fontId="0" fillId="0" borderId="0" xfId="0" applyNumberFormat="1" applyAlignment="1">
      <alignment horizontal="center"/>
    </xf>
    <xf numFmtId="0" fontId="0" fillId="0" borderId="0" xfId="0" applyAlignment="1">
      <alignment horizontal="center" wrapText="1"/>
    </xf>
    <xf numFmtId="0" fontId="2" fillId="0" borderId="2"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left"/>
    </xf>
    <xf numFmtId="0" fontId="4" fillId="0" borderId="0" xfId="0" applyFont="1" applyAlignment="1">
      <alignment horizontal="left"/>
    </xf>
    <xf numFmtId="0" fontId="1" fillId="0" borderId="1" xfId="0" applyFont="1" applyBorder="1" applyAlignment="1">
      <alignment wrapText="1"/>
    </xf>
    <xf numFmtId="0" fontId="5" fillId="0" borderId="1" xfId="0" applyFont="1" applyBorder="1" applyAlignment="1">
      <alignment wrapText="1"/>
    </xf>
    <xf numFmtId="0" fontId="0" fillId="0" borderId="1" xfId="0" applyBorder="1" applyAlignment="1">
      <alignment wrapText="1"/>
    </xf>
    <xf numFmtId="0" fontId="1" fillId="0" borderId="0" xfId="0" applyFont="1" applyAlignment="1">
      <alignment wrapText="1"/>
    </xf>
    <xf numFmtId="0" fontId="0" fillId="0" borderId="0" xfId="0" applyAlignment="1">
      <alignment wrapText="1"/>
    </xf>
    <xf numFmtId="0" fontId="1" fillId="0" borderId="0" xfId="0" applyFont="1" applyBorder="1" applyAlignment="1">
      <alignment horizontal="center" wrapText="1"/>
    </xf>
    <xf numFmtId="0" fontId="6" fillId="0" borderId="0" xfId="0" applyFont="1" applyAlignment="1">
      <alignment horizontal="center" wrapText="1"/>
    </xf>
    <xf numFmtId="0" fontId="1" fillId="0" borderId="0" xfId="0" applyFont="1" applyAlignment="1">
      <alignment horizontal="center" wrapText="1"/>
    </xf>
    <xf numFmtId="0" fontId="0" fillId="0" borderId="3" xfId="0" applyBorder="1" applyAlignment="1">
      <alignment horizontal="center" wrapText="1"/>
    </xf>
    <xf numFmtId="0" fontId="0" fillId="0" borderId="4" xfId="0" applyBorder="1" applyAlignment="1">
      <alignment horizontal="center"/>
    </xf>
    <xf numFmtId="0" fontId="0" fillId="0" borderId="2" xfId="0" applyBorder="1" applyAlignment="1">
      <alignment horizontal="center"/>
    </xf>
    <xf numFmtId="0" fontId="6" fillId="0" borderId="3" xfId="0" applyFont="1" applyBorder="1" applyAlignment="1">
      <alignment horizontal="center" wrapText="1"/>
    </xf>
    <xf numFmtId="0" fontId="6" fillId="0" borderId="0" xfId="0" applyFont="1" applyBorder="1" applyAlignment="1">
      <alignment horizontal="center" wrapText="1"/>
    </xf>
    <xf numFmtId="1" fontId="0" fillId="0" borderId="3" xfId="0" applyNumberFormat="1" applyBorder="1" applyAlignment="1">
      <alignment horizontal="center"/>
    </xf>
    <xf numFmtId="0" fontId="0" fillId="0" borderId="2" xfId="0" applyBorder="1" applyAlignment="1">
      <alignment horizontal="left" wrapText="1"/>
    </xf>
    <xf numFmtId="0" fontId="0" fillId="0" borderId="3" xfId="0" applyBorder="1" applyAlignment="1">
      <alignment horizontal="center"/>
    </xf>
    <xf numFmtId="0" fontId="1" fillId="0" borderId="0" xfId="0" applyFont="1" applyAlignment="1">
      <alignment horizontal="center"/>
    </xf>
    <xf numFmtId="0" fontId="1" fillId="0" borderId="3" xfId="0" applyFont="1" applyBorder="1" applyAlignment="1">
      <alignment horizontal="center"/>
    </xf>
    <xf numFmtId="0" fontId="1" fillId="0" borderId="0" xfId="0" applyFont="1"/>
    <xf numFmtId="0" fontId="1" fillId="0" borderId="1" xfId="0" applyFont="1" applyBorder="1" applyAlignment="1">
      <alignment horizontal="left" wrapText="1"/>
    </xf>
    <xf numFmtId="0" fontId="0" fillId="0" borderId="1" xfId="0" applyBorder="1" applyAlignment="1">
      <alignment horizontal="left" wrapText="1"/>
    </xf>
    <xf numFmtId="0" fontId="0" fillId="0" borderId="0" xfId="0"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44F8D-7963-465A-810C-DB496D20B087}">
  <dimension ref="A1:W23"/>
  <sheetViews>
    <sheetView tabSelected="1" workbookViewId="0">
      <selection activeCell="A7" sqref="A7"/>
    </sheetView>
  </sheetViews>
  <sheetFormatPr defaultRowHeight="15" x14ac:dyDescent="0.25"/>
  <cols>
    <col min="1" max="1" width="52.140625" customWidth="1"/>
    <col min="2" max="2" width="16.42578125" customWidth="1"/>
  </cols>
  <sheetData>
    <row r="1" spans="1:23" x14ac:dyDescent="0.25">
      <c r="A1" s="15" t="s">
        <v>106</v>
      </c>
      <c r="B1" s="15"/>
      <c r="C1" s="15"/>
      <c r="D1" s="15"/>
      <c r="E1" s="15"/>
      <c r="F1" s="15"/>
      <c r="G1" s="15"/>
      <c r="H1" s="15"/>
      <c r="I1" s="15"/>
      <c r="J1" s="15"/>
      <c r="K1" s="15"/>
      <c r="L1" s="15"/>
      <c r="M1" s="15"/>
      <c r="N1" s="15"/>
      <c r="O1" s="15"/>
      <c r="P1" s="15"/>
      <c r="Q1" s="15"/>
      <c r="R1" s="15"/>
      <c r="S1" s="15"/>
      <c r="T1" s="15"/>
      <c r="U1" s="15"/>
      <c r="V1" s="15"/>
      <c r="W1" s="15"/>
    </row>
    <row r="2" spans="1:23" s="2" customFormat="1" ht="30" x14ac:dyDescent="0.25">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94</v>
      </c>
    </row>
    <row r="3" spans="1:23" x14ac:dyDescent="0.25">
      <c r="A3" t="s">
        <v>3</v>
      </c>
      <c r="B3" t="s">
        <v>49</v>
      </c>
      <c r="C3">
        <v>0.52686667442321777</v>
      </c>
      <c r="D3">
        <v>8.3995096385478973E-2</v>
      </c>
      <c r="E3">
        <v>1</v>
      </c>
      <c r="F3">
        <v>0</v>
      </c>
      <c r="G3">
        <v>0</v>
      </c>
      <c r="H3">
        <v>0.50305759906768799</v>
      </c>
      <c r="I3">
        <v>-3.5361200571060181E-2</v>
      </c>
      <c r="J3">
        <v>1</v>
      </c>
      <c r="K3">
        <v>0</v>
      </c>
      <c r="L3">
        <v>0</v>
      </c>
      <c r="M3">
        <v>0.49737998843193054</v>
      </c>
      <c r="N3">
        <v>-5.3425999358296394E-3</v>
      </c>
      <c r="O3">
        <v>1</v>
      </c>
      <c r="P3">
        <v>0</v>
      </c>
      <c r="Q3">
        <v>0</v>
      </c>
      <c r="R3">
        <v>-3.8656000979244709E-3</v>
      </c>
      <c r="S3">
        <v>0.48588550090789795</v>
      </c>
      <c r="T3">
        <v>0</v>
      </c>
      <c r="U3">
        <v>1</v>
      </c>
      <c r="V3">
        <v>0</v>
      </c>
      <c r="W3" t="s">
        <v>50</v>
      </c>
    </row>
    <row r="4" spans="1:23" x14ac:dyDescent="0.25">
      <c r="A4" t="s">
        <v>51</v>
      </c>
      <c r="B4" t="s">
        <v>52</v>
      </c>
      <c r="C4">
        <v>8.6572296917438507E-2</v>
      </c>
      <c r="D4">
        <v>-5.0018299371004105E-2</v>
      </c>
      <c r="E4">
        <v>0</v>
      </c>
      <c r="F4">
        <v>0</v>
      </c>
      <c r="G4">
        <v>0</v>
      </c>
      <c r="H4">
        <v>-0.14352740347385406</v>
      </c>
      <c r="I4">
        <v>-2.0590800791978836E-2</v>
      </c>
      <c r="J4">
        <v>0</v>
      </c>
      <c r="K4">
        <v>0</v>
      </c>
      <c r="L4">
        <v>0</v>
      </c>
      <c r="M4">
        <v>-0.16630509495735168</v>
      </c>
      <c r="N4">
        <v>0.26192179322242737</v>
      </c>
      <c r="O4">
        <v>0</v>
      </c>
      <c r="P4">
        <v>0</v>
      </c>
      <c r="Q4">
        <v>0</v>
      </c>
      <c r="R4">
        <v>0.35317769646644592</v>
      </c>
      <c r="S4">
        <v>-0.22735179960727692</v>
      </c>
      <c r="T4">
        <v>0</v>
      </c>
      <c r="U4">
        <v>0</v>
      </c>
      <c r="V4">
        <v>0</v>
      </c>
      <c r="W4" t="s">
        <v>50</v>
      </c>
    </row>
    <row r="5" spans="1:23" x14ac:dyDescent="0.25">
      <c r="A5" t="s">
        <v>53</v>
      </c>
      <c r="B5" t="s">
        <v>54</v>
      </c>
      <c r="C5">
        <v>-0.12974740564823151</v>
      </c>
      <c r="D5">
        <v>6.4750001765787601E-3</v>
      </c>
      <c r="E5">
        <v>0</v>
      </c>
      <c r="F5">
        <v>0</v>
      </c>
      <c r="G5">
        <v>0</v>
      </c>
      <c r="H5">
        <v>-0.21173340082168579</v>
      </c>
      <c r="I5">
        <v>0.23470599949359894</v>
      </c>
      <c r="J5">
        <v>0</v>
      </c>
      <c r="K5">
        <v>0</v>
      </c>
      <c r="L5">
        <v>0</v>
      </c>
      <c r="M5">
        <v>-0.26960909366607666</v>
      </c>
      <c r="N5">
        <v>3.3600900322198868E-2</v>
      </c>
      <c r="O5">
        <v>0</v>
      </c>
      <c r="P5">
        <v>0</v>
      </c>
      <c r="Q5">
        <v>0</v>
      </c>
      <c r="R5">
        <v>0.11178430169820786</v>
      </c>
      <c r="S5">
        <v>-0.3255017101764679</v>
      </c>
      <c r="T5">
        <v>0</v>
      </c>
      <c r="U5">
        <v>0</v>
      </c>
      <c r="V5">
        <v>0</v>
      </c>
      <c r="W5" t="s">
        <v>50</v>
      </c>
    </row>
    <row r="6" spans="1:23" x14ac:dyDescent="0.25">
      <c r="A6" t="s">
        <v>55</v>
      </c>
      <c r="B6" t="s">
        <v>56</v>
      </c>
      <c r="C6">
        <v>0.4404883086681366</v>
      </c>
      <c r="D6">
        <v>-0.18789950013160706</v>
      </c>
      <c r="E6">
        <v>1</v>
      </c>
      <c r="F6">
        <v>0</v>
      </c>
      <c r="G6">
        <v>0</v>
      </c>
      <c r="H6">
        <v>0.38315978646278381</v>
      </c>
      <c r="I6">
        <v>-0.21959249675273895</v>
      </c>
      <c r="J6">
        <v>0</v>
      </c>
      <c r="K6">
        <v>0</v>
      </c>
      <c r="L6">
        <v>0</v>
      </c>
      <c r="M6">
        <v>0.26141190528869629</v>
      </c>
      <c r="N6">
        <v>0.34297001361846924</v>
      </c>
      <c r="O6">
        <v>0</v>
      </c>
      <c r="P6">
        <v>0</v>
      </c>
      <c r="Q6">
        <v>0</v>
      </c>
      <c r="R6">
        <v>0.38443669676780701</v>
      </c>
      <c r="S6">
        <v>0.22178709506988525</v>
      </c>
      <c r="T6">
        <v>0</v>
      </c>
      <c r="U6">
        <v>0</v>
      </c>
      <c r="V6">
        <v>0</v>
      </c>
      <c r="W6" t="s">
        <v>50</v>
      </c>
    </row>
    <row r="7" spans="1:23" x14ac:dyDescent="0.25">
      <c r="A7" t="s">
        <v>12</v>
      </c>
      <c r="B7" t="s">
        <v>57</v>
      </c>
      <c r="C7">
        <v>8.9963100850582123E-2</v>
      </c>
      <c r="D7">
        <v>0.50310587882995605</v>
      </c>
      <c r="E7">
        <v>0</v>
      </c>
      <c r="F7">
        <v>1</v>
      </c>
      <c r="G7">
        <v>0</v>
      </c>
      <c r="H7">
        <v>2.8758399188518524E-2</v>
      </c>
      <c r="I7">
        <v>0.65260559320449829</v>
      </c>
      <c r="J7">
        <v>0</v>
      </c>
      <c r="K7">
        <v>1</v>
      </c>
      <c r="L7">
        <v>0</v>
      </c>
      <c r="M7">
        <v>5.339609831571579E-2</v>
      </c>
      <c r="N7">
        <v>-0.6030116081237793</v>
      </c>
      <c r="O7">
        <v>0</v>
      </c>
      <c r="P7">
        <v>1</v>
      </c>
      <c r="Q7">
        <v>0</v>
      </c>
      <c r="R7">
        <v>-0.60848790407180786</v>
      </c>
      <c r="S7">
        <v>4.9570199102163315E-2</v>
      </c>
      <c r="T7">
        <v>1</v>
      </c>
      <c r="U7">
        <v>0</v>
      </c>
      <c r="V7">
        <v>0</v>
      </c>
      <c r="W7" t="s">
        <v>50</v>
      </c>
    </row>
    <row r="8" spans="1:23" x14ac:dyDescent="0.25">
      <c r="A8" t="s">
        <v>9</v>
      </c>
      <c r="B8" t="s">
        <v>58</v>
      </c>
      <c r="C8">
        <v>4.9452800303697586E-2</v>
      </c>
      <c r="D8">
        <v>0.54888522624969482</v>
      </c>
      <c r="E8">
        <v>0</v>
      </c>
      <c r="F8">
        <v>1</v>
      </c>
      <c r="G8">
        <v>0</v>
      </c>
      <c r="H8">
        <v>9.4020701944828033E-2</v>
      </c>
      <c r="I8">
        <v>0.36652860045433044</v>
      </c>
      <c r="J8">
        <v>0</v>
      </c>
      <c r="K8">
        <v>0</v>
      </c>
      <c r="L8">
        <v>0</v>
      </c>
      <c r="M8">
        <v>4.4013500213623047E-2</v>
      </c>
      <c r="N8">
        <v>-0.44824540615081787</v>
      </c>
      <c r="O8">
        <v>0</v>
      </c>
      <c r="P8">
        <v>1</v>
      </c>
      <c r="Q8">
        <v>0</v>
      </c>
      <c r="R8">
        <v>-0.48325818777084351</v>
      </c>
      <c r="S8">
        <v>1.9787000492215157E-3</v>
      </c>
      <c r="T8">
        <v>1</v>
      </c>
      <c r="U8">
        <v>0</v>
      </c>
      <c r="V8">
        <v>0</v>
      </c>
      <c r="W8" t="s">
        <v>50</v>
      </c>
    </row>
    <row r="9" spans="1:23" x14ac:dyDescent="0.25">
      <c r="A9" t="s">
        <v>11</v>
      </c>
      <c r="B9" t="s">
        <v>59</v>
      </c>
      <c r="C9">
        <v>0.20768049359321594</v>
      </c>
      <c r="D9">
        <v>0.66489827632904053</v>
      </c>
      <c r="E9">
        <v>0</v>
      </c>
      <c r="F9">
        <v>1</v>
      </c>
      <c r="G9">
        <v>0</v>
      </c>
      <c r="H9">
        <v>0.11384700238704681</v>
      </c>
      <c r="I9">
        <v>0.5842474102973938</v>
      </c>
      <c r="J9">
        <v>0</v>
      </c>
      <c r="K9">
        <v>1</v>
      </c>
      <c r="L9">
        <v>0</v>
      </c>
      <c r="M9">
        <v>0.13873650133609772</v>
      </c>
      <c r="N9">
        <v>-0.59902787208557129</v>
      </c>
      <c r="O9">
        <v>0</v>
      </c>
      <c r="P9">
        <v>1</v>
      </c>
      <c r="Q9">
        <v>0</v>
      </c>
      <c r="R9">
        <v>-0.57458961009979248</v>
      </c>
      <c r="S9">
        <v>0.11471030116081238</v>
      </c>
      <c r="T9">
        <v>1</v>
      </c>
      <c r="U9">
        <v>0</v>
      </c>
      <c r="V9">
        <v>0</v>
      </c>
      <c r="W9" t="s">
        <v>50</v>
      </c>
    </row>
    <row r="10" spans="1:23" x14ac:dyDescent="0.25">
      <c r="A10" t="s">
        <v>13</v>
      </c>
      <c r="B10" t="s">
        <v>60</v>
      </c>
      <c r="C10">
        <v>0.40203920006752014</v>
      </c>
      <c r="D10">
        <v>-0.39104759693145752</v>
      </c>
      <c r="E10">
        <v>1</v>
      </c>
      <c r="F10">
        <v>0</v>
      </c>
      <c r="G10">
        <v>0</v>
      </c>
      <c r="H10">
        <v>0.17081889510154724</v>
      </c>
      <c r="I10">
        <v>-0.43879270553588867</v>
      </c>
      <c r="J10">
        <v>0</v>
      </c>
      <c r="K10">
        <v>1</v>
      </c>
      <c r="L10">
        <v>0</v>
      </c>
      <c r="M10">
        <v>0.19321879744529724</v>
      </c>
      <c r="N10">
        <v>0.51105809211730957</v>
      </c>
      <c r="O10">
        <v>0</v>
      </c>
      <c r="P10">
        <v>1</v>
      </c>
      <c r="Q10">
        <v>0</v>
      </c>
      <c r="R10">
        <v>0.55146157741546631</v>
      </c>
      <c r="S10">
        <v>0.18215569853782654</v>
      </c>
      <c r="T10">
        <v>1</v>
      </c>
      <c r="U10">
        <v>0</v>
      </c>
      <c r="V10">
        <v>0</v>
      </c>
      <c r="W10" t="s">
        <v>50</v>
      </c>
    </row>
    <row r="11" spans="1:23" x14ac:dyDescent="0.25">
      <c r="A11" t="s">
        <v>10</v>
      </c>
      <c r="B11" t="s">
        <v>61</v>
      </c>
      <c r="C11">
        <v>-0.16715820133686066</v>
      </c>
      <c r="D11">
        <v>0.60304868221282959</v>
      </c>
      <c r="E11">
        <v>0</v>
      </c>
      <c r="F11">
        <v>1</v>
      </c>
      <c r="G11">
        <v>0</v>
      </c>
      <c r="H11">
        <v>-6.2551900744438171E-2</v>
      </c>
      <c r="I11">
        <v>0.44392231106758118</v>
      </c>
      <c r="J11">
        <v>0</v>
      </c>
      <c r="K11">
        <v>1</v>
      </c>
      <c r="L11">
        <v>0</v>
      </c>
      <c r="M11">
        <v>-1.7538100481033325E-2</v>
      </c>
      <c r="N11">
        <v>-0.56126797199249268</v>
      </c>
      <c r="O11">
        <v>0</v>
      </c>
      <c r="P11">
        <v>1</v>
      </c>
      <c r="Q11">
        <v>0</v>
      </c>
      <c r="R11">
        <v>-0.59973901510238647</v>
      </c>
      <c r="S11">
        <v>9.3034002929925919E-3</v>
      </c>
      <c r="T11">
        <v>1</v>
      </c>
      <c r="U11">
        <v>0</v>
      </c>
      <c r="V11">
        <v>0</v>
      </c>
      <c r="W11" t="s">
        <v>50</v>
      </c>
    </row>
    <row r="12" spans="1:23" x14ac:dyDescent="0.25">
      <c r="A12" t="s">
        <v>14</v>
      </c>
      <c r="B12" t="s">
        <v>62</v>
      </c>
      <c r="C12">
        <v>0.29299509525299072</v>
      </c>
      <c r="D12">
        <v>-0.35671409964561462</v>
      </c>
      <c r="E12">
        <v>0</v>
      </c>
      <c r="F12">
        <v>0</v>
      </c>
      <c r="G12">
        <v>0</v>
      </c>
      <c r="H12">
        <v>0.17734360694885254</v>
      </c>
      <c r="I12">
        <v>-0.39875370264053345</v>
      </c>
      <c r="J12">
        <v>0</v>
      </c>
      <c r="K12">
        <v>0</v>
      </c>
      <c r="L12">
        <v>0</v>
      </c>
      <c r="M12">
        <v>0.11428269743919373</v>
      </c>
      <c r="N12">
        <v>0.45327839255332947</v>
      </c>
      <c r="O12">
        <v>0</v>
      </c>
      <c r="P12">
        <v>1</v>
      </c>
      <c r="Q12">
        <v>0</v>
      </c>
      <c r="R12">
        <v>0.49809861183166504</v>
      </c>
      <c r="S12">
        <v>4.7878101468086243E-2</v>
      </c>
      <c r="T12">
        <v>1</v>
      </c>
      <c r="U12">
        <v>0</v>
      </c>
      <c r="V12">
        <v>0</v>
      </c>
      <c r="W12" t="s">
        <v>50</v>
      </c>
    </row>
    <row r="13" spans="1:23" x14ac:dyDescent="0.25">
      <c r="A13" t="s">
        <v>5</v>
      </c>
      <c r="B13" t="s">
        <v>63</v>
      </c>
      <c r="C13">
        <v>0.49779090285301208</v>
      </c>
      <c r="D13">
        <v>-2.5585800409317017E-2</v>
      </c>
      <c r="E13">
        <v>1</v>
      </c>
      <c r="F13">
        <v>0</v>
      </c>
      <c r="G13">
        <v>0</v>
      </c>
      <c r="H13">
        <v>0.42164221405982971</v>
      </c>
      <c r="I13">
        <v>2.1979600191116333E-2</v>
      </c>
      <c r="J13">
        <v>1</v>
      </c>
      <c r="K13">
        <v>0</v>
      </c>
      <c r="L13">
        <v>0</v>
      </c>
      <c r="M13">
        <v>0.46065160632133484</v>
      </c>
      <c r="N13">
        <v>3.6746200174093246E-2</v>
      </c>
      <c r="O13">
        <v>1</v>
      </c>
      <c r="P13">
        <v>0</v>
      </c>
      <c r="Q13">
        <v>0</v>
      </c>
      <c r="R13">
        <v>0.10697170346975327</v>
      </c>
      <c r="S13">
        <v>0.47174128890037537</v>
      </c>
      <c r="T13">
        <v>0</v>
      </c>
      <c r="U13">
        <v>1</v>
      </c>
      <c r="V13">
        <v>0</v>
      </c>
      <c r="W13" t="s">
        <v>50</v>
      </c>
    </row>
    <row r="14" spans="1:23" x14ac:dyDescent="0.25">
      <c r="A14" t="s">
        <v>0</v>
      </c>
      <c r="B14" t="s">
        <v>64</v>
      </c>
      <c r="C14">
        <v>0.60227519273757935</v>
      </c>
      <c r="D14">
        <v>5.2008498460054398E-2</v>
      </c>
      <c r="E14">
        <v>1</v>
      </c>
      <c r="F14">
        <v>0</v>
      </c>
      <c r="G14">
        <v>0</v>
      </c>
      <c r="H14">
        <v>0.61245030164718628</v>
      </c>
      <c r="I14">
        <v>0.13356040418148041</v>
      </c>
      <c r="J14">
        <v>1</v>
      </c>
      <c r="K14">
        <v>0</v>
      </c>
      <c r="L14">
        <v>0</v>
      </c>
      <c r="M14">
        <v>0.60748487710952759</v>
      </c>
      <c r="N14">
        <v>-2.404789999127388E-2</v>
      </c>
      <c r="O14">
        <v>1</v>
      </c>
      <c r="P14">
        <v>0</v>
      </c>
      <c r="Q14">
        <v>0</v>
      </c>
      <c r="R14">
        <v>2.3547500371932983E-2</v>
      </c>
      <c r="S14">
        <v>0.6135903000831604</v>
      </c>
      <c r="T14">
        <v>0</v>
      </c>
      <c r="U14">
        <v>1</v>
      </c>
      <c r="V14">
        <v>0</v>
      </c>
      <c r="W14" t="s">
        <v>50</v>
      </c>
    </row>
    <row r="15" spans="1:23" x14ac:dyDescent="0.25">
      <c r="A15" t="s">
        <v>7</v>
      </c>
      <c r="B15" t="s">
        <v>65</v>
      </c>
      <c r="C15">
        <v>0.54730391502380371</v>
      </c>
      <c r="D15">
        <v>-9.2627502977848053E-2</v>
      </c>
      <c r="E15">
        <v>1</v>
      </c>
      <c r="F15">
        <v>0</v>
      </c>
      <c r="G15">
        <v>0</v>
      </c>
      <c r="H15">
        <v>0.53685611486434937</v>
      </c>
      <c r="I15">
        <v>-0.15051980316638947</v>
      </c>
      <c r="J15">
        <v>1</v>
      </c>
      <c r="K15">
        <v>0</v>
      </c>
      <c r="L15">
        <v>0</v>
      </c>
      <c r="M15">
        <v>0.43592709302902222</v>
      </c>
      <c r="N15">
        <v>0.24719400703907013</v>
      </c>
      <c r="O15">
        <v>1</v>
      </c>
      <c r="P15">
        <v>0</v>
      </c>
      <c r="Q15">
        <v>0</v>
      </c>
      <c r="R15">
        <v>0.28204470872879028</v>
      </c>
      <c r="S15">
        <v>0.40390610694885254</v>
      </c>
      <c r="T15">
        <v>0</v>
      </c>
      <c r="U15">
        <v>1</v>
      </c>
      <c r="V15">
        <v>0</v>
      </c>
      <c r="W15" t="s">
        <v>50</v>
      </c>
    </row>
    <row r="16" spans="1:23" x14ac:dyDescent="0.25">
      <c r="A16" t="s">
        <v>2</v>
      </c>
      <c r="B16" t="s">
        <v>66</v>
      </c>
      <c r="C16">
        <v>0.53030872344970703</v>
      </c>
      <c r="D16">
        <v>-4.7005798667669296E-2</v>
      </c>
      <c r="E16">
        <v>1</v>
      </c>
      <c r="F16">
        <v>0</v>
      </c>
      <c r="G16">
        <v>0</v>
      </c>
      <c r="H16">
        <v>0.46306058764457703</v>
      </c>
      <c r="I16">
        <v>2.6165000163018703E-3</v>
      </c>
      <c r="J16">
        <v>1</v>
      </c>
      <c r="K16">
        <v>0</v>
      </c>
      <c r="L16">
        <v>0</v>
      </c>
      <c r="M16">
        <v>0.50721299648284912</v>
      </c>
      <c r="N16">
        <v>-5.5159401148557663E-2</v>
      </c>
      <c r="O16">
        <v>1</v>
      </c>
      <c r="P16">
        <v>0</v>
      </c>
      <c r="Q16">
        <v>0</v>
      </c>
      <c r="R16">
        <v>-7.8242100775241852E-2</v>
      </c>
      <c r="S16">
        <v>0.55335760116577148</v>
      </c>
      <c r="T16">
        <v>0</v>
      </c>
      <c r="U16">
        <v>1</v>
      </c>
      <c r="V16">
        <v>0</v>
      </c>
      <c r="W16" t="s">
        <v>50</v>
      </c>
    </row>
    <row r="17" spans="1:23" x14ac:dyDescent="0.25">
      <c r="A17" t="s">
        <v>6</v>
      </c>
      <c r="B17" t="s">
        <v>67</v>
      </c>
      <c r="C17">
        <v>0.56085497140884399</v>
      </c>
      <c r="D17">
        <v>8.1287100911140442E-2</v>
      </c>
      <c r="E17">
        <v>1</v>
      </c>
      <c r="F17">
        <v>0</v>
      </c>
      <c r="G17">
        <v>0</v>
      </c>
      <c r="H17">
        <v>0.48888128995895386</v>
      </c>
      <c r="I17">
        <v>-5.536310002207756E-2</v>
      </c>
      <c r="J17">
        <v>1</v>
      </c>
      <c r="K17">
        <v>0</v>
      </c>
      <c r="L17">
        <v>0</v>
      </c>
      <c r="M17">
        <v>0.45213180780410767</v>
      </c>
      <c r="N17">
        <v>6.7153401672840118E-2</v>
      </c>
      <c r="O17">
        <v>1</v>
      </c>
      <c r="P17">
        <v>0</v>
      </c>
      <c r="Q17">
        <v>0</v>
      </c>
      <c r="R17">
        <v>0.14056490361690521</v>
      </c>
      <c r="S17">
        <v>0.40396851301193237</v>
      </c>
      <c r="T17">
        <v>0</v>
      </c>
      <c r="U17">
        <v>1</v>
      </c>
      <c r="V17">
        <v>0</v>
      </c>
      <c r="W17" t="s">
        <v>50</v>
      </c>
    </row>
    <row r="18" spans="1:23" x14ac:dyDescent="0.25">
      <c r="A18" t="s">
        <v>4</v>
      </c>
      <c r="B18" t="s">
        <v>68</v>
      </c>
      <c r="C18">
        <v>0.47729170322418213</v>
      </c>
      <c r="D18">
        <v>0.15052509307861328</v>
      </c>
      <c r="E18">
        <v>1</v>
      </c>
      <c r="F18">
        <v>0</v>
      </c>
      <c r="G18">
        <v>0</v>
      </c>
      <c r="H18">
        <v>0.31809580326080322</v>
      </c>
      <c r="I18">
        <v>8.8958004489541054E-3</v>
      </c>
      <c r="J18">
        <v>0</v>
      </c>
      <c r="K18">
        <v>0</v>
      </c>
      <c r="L18">
        <v>0</v>
      </c>
      <c r="M18">
        <v>0.49383029341697693</v>
      </c>
      <c r="N18">
        <v>-0.16632799804210663</v>
      </c>
      <c r="O18">
        <v>1</v>
      </c>
      <c r="P18">
        <v>0</v>
      </c>
      <c r="Q18">
        <v>0</v>
      </c>
      <c r="R18">
        <v>-0.21114970743656158</v>
      </c>
      <c r="S18">
        <v>0.55429279804229736</v>
      </c>
      <c r="T18">
        <v>0</v>
      </c>
      <c r="U18">
        <v>1</v>
      </c>
      <c r="V18">
        <v>0</v>
      </c>
      <c r="W18" t="s">
        <v>50</v>
      </c>
    </row>
    <row r="19" spans="1:23" x14ac:dyDescent="0.25">
      <c r="A19" t="s">
        <v>1</v>
      </c>
      <c r="B19" t="s">
        <v>69</v>
      </c>
      <c r="C19">
        <v>0.53032767772674561</v>
      </c>
      <c r="D19">
        <v>0.12512560188770294</v>
      </c>
      <c r="E19">
        <v>1</v>
      </c>
      <c r="F19">
        <v>0</v>
      </c>
      <c r="G19">
        <v>0</v>
      </c>
      <c r="H19">
        <v>0.47702878713607788</v>
      </c>
      <c r="I19">
        <v>6.7827597260475159E-2</v>
      </c>
      <c r="J19">
        <v>1</v>
      </c>
      <c r="K19">
        <v>0</v>
      </c>
      <c r="L19">
        <v>0</v>
      </c>
      <c r="M19">
        <v>0.51754307746887207</v>
      </c>
      <c r="N19">
        <v>3.6250099539756775E-2</v>
      </c>
      <c r="O19">
        <v>1</v>
      </c>
      <c r="P19">
        <v>0</v>
      </c>
      <c r="Q19">
        <v>0</v>
      </c>
      <c r="R19">
        <v>0.11537729948759079</v>
      </c>
      <c r="S19">
        <v>0.50430810451507568</v>
      </c>
      <c r="T19">
        <v>0</v>
      </c>
      <c r="U19">
        <v>1</v>
      </c>
      <c r="V19">
        <v>0</v>
      </c>
      <c r="W19" t="s">
        <v>50</v>
      </c>
    </row>
    <row r="20" spans="1:23" x14ac:dyDescent="0.25">
      <c r="A20" t="s">
        <v>8</v>
      </c>
      <c r="B20" t="s">
        <v>70</v>
      </c>
      <c r="C20">
        <v>0.40187069773674011</v>
      </c>
      <c r="D20">
        <v>0.16449980437755585</v>
      </c>
      <c r="E20">
        <v>1</v>
      </c>
      <c r="F20">
        <v>0</v>
      </c>
      <c r="G20">
        <v>0</v>
      </c>
      <c r="H20">
        <v>0.44716748595237732</v>
      </c>
      <c r="I20">
        <v>8.1272400915622711E-2</v>
      </c>
      <c r="J20">
        <v>1</v>
      </c>
      <c r="K20">
        <v>0</v>
      </c>
      <c r="L20">
        <v>0</v>
      </c>
      <c r="M20">
        <v>0.404084712266922</v>
      </c>
      <c r="N20">
        <v>-2.8942599892616272E-2</v>
      </c>
      <c r="O20">
        <v>1</v>
      </c>
      <c r="P20">
        <v>0</v>
      </c>
      <c r="Q20">
        <v>0</v>
      </c>
      <c r="R20">
        <v>4.4257998466491699E-2</v>
      </c>
      <c r="S20">
        <v>0.34274739027023315</v>
      </c>
      <c r="T20">
        <v>0</v>
      </c>
      <c r="U20">
        <v>0</v>
      </c>
      <c r="V20">
        <v>0</v>
      </c>
      <c r="W20" t="s">
        <v>50</v>
      </c>
    </row>
    <row r="21" spans="1:23" x14ac:dyDescent="0.25">
      <c r="A21" t="s">
        <v>74</v>
      </c>
      <c r="B21" t="s">
        <v>75</v>
      </c>
      <c r="C21">
        <v>0.28688108921051025</v>
      </c>
      <c r="D21">
        <v>-0.21198220551013947</v>
      </c>
      <c r="E21">
        <v>0</v>
      </c>
      <c r="F21">
        <v>0</v>
      </c>
      <c r="G21">
        <v>0</v>
      </c>
      <c r="H21">
        <v>0.3178521990776062</v>
      </c>
      <c r="I21">
        <v>3.4256201237440109E-2</v>
      </c>
      <c r="J21">
        <v>0</v>
      </c>
      <c r="K21">
        <v>0</v>
      </c>
      <c r="L21">
        <v>0</v>
      </c>
      <c r="M21">
        <v>0.12130880355834961</v>
      </c>
      <c r="N21">
        <v>0.2008197009563446</v>
      </c>
      <c r="O21">
        <v>0</v>
      </c>
      <c r="P21">
        <v>0</v>
      </c>
      <c r="Q21">
        <v>0</v>
      </c>
      <c r="R21">
        <v>0.21858449280261993</v>
      </c>
      <c r="S21">
        <v>3.0374400317668915E-2</v>
      </c>
      <c r="T21">
        <v>0</v>
      </c>
      <c r="U21">
        <v>0</v>
      </c>
      <c r="V21">
        <v>0</v>
      </c>
      <c r="W21" t="s">
        <v>50</v>
      </c>
    </row>
    <row r="22" spans="1:23" x14ac:dyDescent="0.25">
      <c r="A22" t="s">
        <v>78</v>
      </c>
      <c r="B22" t="s">
        <v>79</v>
      </c>
      <c r="C22">
        <v>0.38793951272964478</v>
      </c>
      <c r="D22">
        <v>-0.22868439555168152</v>
      </c>
      <c r="E22">
        <v>0</v>
      </c>
      <c r="F22">
        <v>0</v>
      </c>
      <c r="G22">
        <v>0</v>
      </c>
      <c r="H22">
        <v>0.29414239525794983</v>
      </c>
      <c r="I22">
        <v>-0.27202180027961731</v>
      </c>
      <c r="J22">
        <v>0</v>
      </c>
      <c r="K22">
        <v>0</v>
      </c>
      <c r="L22">
        <v>0</v>
      </c>
      <c r="M22">
        <v>0.28584149479866028</v>
      </c>
      <c r="N22">
        <v>0.23246279358863831</v>
      </c>
      <c r="O22">
        <v>0</v>
      </c>
      <c r="P22">
        <v>0</v>
      </c>
      <c r="Q22">
        <v>0</v>
      </c>
      <c r="R22">
        <v>0.243796706199646</v>
      </c>
      <c r="S22">
        <v>0.26379039883613586</v>
      </c>
      <c r="T22">
        <v>0</v>
      </c>
      <c r="U22">
        <v>0</v>
      </c>
      <c r="V22">
        <v>0</v>
      </c>
      <c r="W22" t="s">
        <v>50</v>
      </c>
    </row>
    <row r="23" spans="1:23" x14ac:dyDescent="0.25">
      <c r="A23" s="3" t="s">
        <v>80</v>
      </c>
      <c r="B23" s="3" t="s">
        <v>81</v>
      </c>
      <c r="C23" s="3">
        <v>0.15063659846782684</v>
      </c>
      <c r="D23" s="3">
        <v>-0.39545890688896179</v>
      </c>
      <c r="E23" s="3">
        <v>0</v>
      </c>
      <c r="F23" s="3">
        <v>0</v>
      </c>
      <c r="G23" s="3">
        <v>0</v>
      </c>
      <c r="H23" s="3">
        <v>0.1734904944896698</v>
      </c>
      <c r="I23" s="3">
        <v>-0.26450929045677185</v>
      </c>
      <c r="J23" s="3">
        <v>0</v>
      </c>
      <c r="K23" s="3">
        <v>0</v>
      </c>
      <c r="L23" s="3">
        <v>0</v>
      </c>
      <c r="M23" s="3">
        <v>8.2526698708534241E-2</v>
      </c>
      <c r="N23" s="3">
        <v>0.30845370888710022</v>
      </c>
      <c r="O23" s="3">
        <v>0</v>
      </c>
      <c r="P23" s="3">
        <v>0</v>
      </c>
      <c r="Q23" s="3">
        <v>0</v>
      </c>
      <c r="R23" s="3">
        <v>0.35216149687767029</v>
      </c>
      <c r="S23" s="3">
        <v>2.0437400788068771E-2</v>
      </c>
      <c r="T23" s="3">
        <v>0</v>
      </c>
      <c r="U23" s="3">
        <v>0</v>
      </c>
      <c r="V23" s="3">
        <v>0</v>
      </c>
      <c r="W23" s="3" t="s">
        <v>50</v>
      </c>
    </row>
  </sheetData>
  <sortState xmlns:xlrd2="http://schemas.microsoft.com/office/spreadsheetml/2017/richdata2" ref="A3:W23">
    <sortCondition ref="W3:W23"/>
    <sortCondition ref="B3:B23"/>
  </sortState>
  <mergeCells count="1">
    <mergeCell ref="A1:W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1118F-627C-4833-90F9-5EC062CB901E}">
  <dimension ref="A1:W13"/>
  <sheetViews>
    <sheetView workbookViewId="0">
      <selection sqref="A1:W1"/>
    </sheetView>
  </sheetViews>
  <sheetFormatPr defaultRowHeight="15" x14ac:dyDescent="0.25"/>
  <cols>
    <col min="1" max="1" width="52.140625" customWidth="1"/>
    <col min="2" max="2" width="16.42578125" customWidth="1"/>
  </cols>
  <sheetData>
    <row r="1" spans="1:23" x14ac:dyDescent="0.25">
      <c r="A1" s="15" t="s">
        <v>105</v>
      </c>
      <c r="B1" s="15"/>
      <c r="C1" s="15"/>
      <c r="D1" s="15"/>
      <c r="E1" s="15"/>
      <c r="F1" s="15"/>
      <c r="G1" s="15"/>
      <c r="H1" s="15"/>
      <c r="I1" s="15"/>
      <c r="J1" s="15"/>
      <c r="K1" s="15"/>
      <c r="L1" s="15"/>
      <c r="M1" s="15"/>
      <c r="N1" s="15"/>
      <c r="O1" s="15"/>
      <c r="P1" s="15"/>
      <c r="Q1" s="15"/>
      <c r="R1" s="15"/>
      <c r="S1" s="15"/>
      <c r="T1" s="15"/>
      <c r="U1" s="15"/>
      <c r="V1" s="15"/>
      <c r="W1" s="15"/>
    </row>
    <row r="2" spans="1:23" s="2" customFormat="1" ht="30" x14ac:dyDescent="0.25">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94</v>
      </c>
    </row>
    <row r="3" spans="1:23" x14ac:dyDescent="0.25">
      <c r="A3" t="s">
        <v>71</v>
      </c>
      <c r="B3" t="s">
        <v>72</v>
      </c>
      <c r="C3">
        <v>-0.42341101169586182</v>
      </c>
      <c r="E3">
        <v>1</v>
      </c>
      <c r="F3">
        <v>1</v>
      </c>
      <c r="G3">
        <v>0</v>
      </c>
      <c r="H3">
        <v>-0.54068088531494141</v>
      </c>
      <c r="I3">
        <v>9.7194701433181763E-2</v>
      </c>
      <c r="J3">
        <v>1</v>
      </c>
      <c r="K3">
        <v>0</v>
      </c>
      <c r="L3">
        <v>0</v>
      </c>
      <c r="M3">
        <v>-0.51323980093002319</v>
      </c>
      <c r="N3">
        <v>-6.3180297613143921E-2</v>
      </c>
      <c r="O3">
        <v>1</v>
      </c>
      <c r="P3">
        <v>0</v>
      </c>
      <c r="Q3">
        <v>0</v>
      </c>
      <c r="R3">
        <v>-0.5902249813079834</v>
      </c>
      <c r="S3">
        <v>-0.10723730176687241</v>
      </c>
      <c r="T3">
        <v>1</v>
      </c>
      <c r="U3">
        <v>0</v>
      </c>
      <c r="V3">
        <v>0</v>
      </c>
      <c r="W3" t="s">
        <v>73</v>
      </c>
    </row>
    <row r="4" spans="1:23" x14ac:dyDescent="0.25">
      <c r="A4" t="s">
        <v>17</v>
      </c>
      <c r="B4" t="s">
        <v>76</v>
      </c>
      <c r="C4">
        <v>-0.51057171821594238</v>
      </c>
      <c r="E4">
        <v>1</v>
      </c>
      <c r="F4">
        <v>1</v>
      </c>
      <c r="G4">
        <v>0</v>
      </c>
      <c r="H4">
        <v>-0.55622988939285278</v>
      </c>
      <c r="I4">
        <v>5.1096301525831223E-2</v>
      </c>
      <c r="J4">
        <v>1</v>
      </c>
      <c r="K4">
        <v>0</v>
      </c>
      <c r="L4">
        <v>0</v>
      </c>
      <c r="M4">
        <v>-0.5581892728805542</v>
      </c>
      <c r="N4">
        <v>-3.0320000951178372E-4</v>
      </c>
      <c r="O4">
        <v>1</v>
      </c>
      <c r="P4">
        <v>0</v>
      </c>
      <c r="Q4">
        <v>0</v>
      </c>
      <c r="R4">
        <v>-0.62920200824737549</v>
      </c>
      <c r="S4">
        <v>-2.4208000395447016E-3</v>
      </c>
      <c r="T4">
        <v>1</v>
      </c>
      <c r="U4">
        <v>0</v>
      </c>
      <c r="V4">
        <v>0</v>
      </c>
      <c r="W4" t="s">
        <v>73</v>
      </c>
    </row>
    <row r="5" spans="1:23" x14ac:dyDescent="0.25">
      <c r="A5" t="s">
        <v>16</v>
      </c>
      <c r="B5" t="s">
        <v>77</v>
      </c>
      <c r="C5">
        <v>0.4922918975353241</v>
      </c>
      <c r="E5">
        <v>1</v>
      </c>
      <c r="F5">
        <v>1</v>
      </c>
      <c r="G5">
        <v>0</v>
      </c>
      <c r="H5">
        <v>0.4863612949848175</v>
      </c>
      <c r="I5">
        <v>0.12750069797039032</v>
      </c>
      <c r="J5">
        <v>1</v>
      </c>
      <c r="K5">
        <v>0</v>
      </c>
      <c r="L5">
        <v>0</v>
      </c>
      <c r="M5">
        <v>0.56750679016113281</v>
      </c>
      <c r="N5">
        <v>8.8294900953769684E-2</v>
      </c>
      <c r="O5">
        <v>1</v>
      </c>
      <c r="P5">
        <v>0</v>
      </c>
      <c r="Q5">
        <v>0</v>
      </c>
      <c r="R5">
        <v>0.58616948127746582</v>
      </c>
      <c r="S5">
        <v>1.5462299808859825E-2</v>
      </c>
      <c r="T5">
        <v>1</v>
      </c>
      <c r="U5">
        <v>0</v>
      </c>
      <c r="V5">
        <v>0</v>
      </c>
      <c r="W5" t="s">
        <v>73</v>
      </c>
    </row>
    <row r="6" spans="1:23" x14ac:dyDescent="0.25">
      <c r="A6" t="s">
        <v>15</v>
      </c>
      <c r="B6" t="s">
        <v>82</v>
      </c>
      <c r="C6">
        <v>0.55023097991943359</v>
      </c>
      <c r="E6">
        <v>1</v>
      </c>
      <c r="F6">
        <v>1</v>
      </c>
      <c r="G6">
        <v>0</v>
      </c>
      <c r="H6">
        <v>0.73296928405761719</v>
      </c>
      <c r="I6">
        <v>0.100341796875</v>
      </c>
      <c r="J6">
        <v>1</v>
      </c>
      <c r="K6">
        <v>0</v>
      </c>
      <c r="L6">
        <v>0</v>
      </c>
      <c r="M6">
        <v>0.68212401866912842</v>
      </c>
      <c r="N6">
        <v>4.1326001286506653E-2</v>
      </c>
      <c r="O6">
        <v>1</v>
      </c>
      <c r="P6">
        <v>0</v>
      </c>
      <c r="Q6">
        <v>0</v>
      </c>
      <c r="R6">
        <v>0.70751810073852539</v>
      </c>
      <c r="S6">
        <v>1.3300999999046326E-3</v>
      </c>
      <c r="T6">
        <v>1</v>
      </c>
      <c r="U6">
        <v>0</v>
      </c>
      <c r="V6">
        <v>0</v>
      </c>
      <c r="W6" t="s">
        <v>73</v>
      </c>
    </row>
    <row r="7" spans="1:23" x14ac:dyDescent="0.25">
      <c r="A7" t="s">
        <v>20</v>
      </c>
      <c r="B7" t="s">
        <v>83</v>
      </c>
      <c r="C7">
        <v>0.65236049890518188</v>
      </c>
      <c r="E7">
        <v>1</v>
      </c>
      <c r="F7">
        <v>1</v>
      </c>
      <c r="G7">
        <v>0</v>
      </c>
      <c r="H7">
        <v>0.54635477066040039</v>
      </c>
      <c r="I7">
        <v>-0.13353650271892548</v>
      </c>
      <c r="J7">
        <v>1</v>
      </c>
      <c r="K7">
        <v>0</v>
      </c>
      <c r="L7">
        <v>0</v>
      </c>
      <c r="M7">
        <v>0.45959040522575378</v>
      </c>
      <c r="N7">
        <v>-0.24013020098209381</v>
      </c>
      <c r="O7">
        <v>1</v>
      </c>
      <c r="P7">
        <v>0</v>
      </c>
      <c r="Q7">
        <v>0</v>
      </c>
      <c r="R7">
        <v>0.39474660158157349</v>
      </c>
      <c r="S7">
        <v>-0.31971049308776855</v>
      </c>
      <c r="T7">
        <v>0</v>
      </c>
      <c r="U7">
        <v>0</v>
      </c>
      <c r="V7">
        <v>0</v>
      </c>
      <c r="W7" t="s">
        <v>73</v>
      </c>
    </row>
    <row r="8" spans="1:23" x14ac:dyDescent="0.25">
      <c r="A8" t="s">
        <v>19</v>
      </c>
      <c r="B8" t="s">
        <v>84</v>
      </c>
      <c r="C8">
        <v>0.64039570093154907</v>
      </c>
      <c r="E8">
        <v>1</v>
      </c>
      <c r="F8">
        <v>1</v>
      </c>
      <c r="G8">
        <v>0</v>
      </c>
      <c r="H8">
        <v>0.56323897838592529</v>
      </c>
      <c r="I8">
        <v>-5.0275698304176331E-2</v>
      </c>
      <c r="J8">
        <v>1</v>
      </c>
      <c r="K8">
        <v>0</v>
      </c>
      <c r="L8">
        <v>0</v>
      </c>
      <c r="M8">
        <v>0.46228989958763123</v>
      </c>
      <c r="N8">
        <v>-0.22994770109653473</v>
      </c>
      <c r="O8">
        <v>1</v>
      </c>
      <c r="P8">
        <v>0</v>
      </c>
      <c r="Q8">
        <v>0</v>
      </c>
      <c r="R8">
        <v>0.44215241074562073</v>
      </c>
      <c r="S8">
        <v>-0.32826080918312073</v>
      </c>
      <c r="T8">
        <v>1</v>
      </c>
      <c r="U8">
        <v>0</v>
      </c>
      <c r="V8">
        <v>0</v>
      </c>
      <c r="W8" t="s">
        <v>73</v>
      </c>
    </row>
    <row r="9" spans="1:23" x14ac:dyDescent="0.25">
      <c r="A9" t="s">
        <v>21</v>
      </c>
      <c r="B9" t="s">
        <v>85</v>
      </c>
      <c r="C9">
        <v>0.58686470985412598</v>
      </c>
      <c r="E9">
        <v>1</v>
      </c>
      <c r="F9">
        <v>1</v>
      </c>
      <c r="G9">
        <v>0</v>
      </c>
      <c r="H9">
        <v>0.12518329918384552</v>
      </c>
      <c r="I9">
        <v>-0.64056217670440674</v>
      </c>
      <c r="J9">
        <v>0</v>
      </c>
      <c r="K9">
        <v>1</v>
      </c>
      <c r="L9">
        <v>0</v>
      </c>
      <c r="M9">
        <v>0.1907045990228653</v>
      </c>
      <c r="N9">
        <v>-0.47912558913230896</v>
      </c>
      <c r="O9">
        <v>0</v>
      </c>
      <c r="P9">
        <v>1</v>
      </c>
      <c r="Q9">
        <v>0</v>
      </c>
      <c r="R9">
        <v>0.19664150476455688</v>
      </c>
      <c r="S9">
        <v>-0.48737329244613647</v>
      </c>
      <c r="T9">
        <v>0</v>
      </c>
      <c r="U9">
        <v>1</v>
      </c>
      <c r="V9">
        <v>0</v>
      </c>
      <c r="W9" t="s">
        <v>73</v>
      </c>
    </row>
    <row r="10" spans="1:23" x14ac:dyDescent="0.25">
      <c r="A10" t="s">
        <v>86</v>
      </c>
      <c r="B10" t="s">
        <v>87</v>
      </c>
      <c r="C10">
        <v>1.0529899969696999E-2</v>
      </c>
      <c r="E10">
        <v>0</v>
      </c>
      <c r="F10">
        <v>1</v>
      </c>
      <c r="G10">
        <v>0</v>
      </c>
      <c r="H10">
        <v>-3.6011599004268646E-2</v>
      </c>
      <c r="I10">
        <v>0.58260160684585571</v>
      </c>
      <c r="J10">
        <v>0</v>
      </c>
      <c r="K10">
        <v>1</v>
      </c>
      <c r="L10">
        <v>0</v>
      </c>
      <c r="M10">
        <v>0.10406419634819031</v>
      </c>
      <c r="N10">
        <v>0.49195250868797302</v>
      </c>
      <c r="O10">
        <v>0</v>
      </c>
      <c r="P10">
        <v>1</v>
      </c>
      <c r="Q10">
        <v>0</v>
      </c>
      <c r="R10">
        <v>0.16839760541915894</v>
      </c>
      <c r="S10">
        <v>0.51899200677871704</v>
      </c>
      <c r="T10">
        <v>0</v>
      </c>
      <c r="U10">
        <v>1</v>
      </c>
      <c r="V10">
        <v>0</v>
      </c>
      <c r="W10" t="s">
        <v>73</v>
      </c>
    </row>
    <row r="11" spans="1:23" x14ac:dyDescent="0.25">
      <c r="A11" t="s">
        <v>88</v>
      </c>
      <c r="B11" t="s">
        <v>89</v>
      </c>
      <c r="C11">
        <v>-0.40895059704780579</v>
      </c>
      <c r="E11">
        <v>1</v>
      </c>
      <c r="F11">
        <v>1</v>
      </c>
      <c r="G11">
        <v>0</v>
      </c>
      <c r="H11">
        <v>9.0538999065756798E-3</v>
      </c>
      <c r="I11">
        <v>0.5585482120513916</v>
      </c>
      <c r="J11">
        <v>0</v>
      </c>
      <c r="K11">
        <v>1</v>
      </c>
      <c r="L11">
        <v>0</v>
      </c>
      <c r="M11">
        <v>-6.7881099879741669E-2</v>
      </c>
      <c r="N11">
        <v>0.4999735951423645</v>
      </c>
      <c r="O11">
        <v>0</v>
      </c>
      <c r="P11">
        <v>1</v>
      </c>
      <c r="Q11">
        <v>0</v>
      </c>
      <c r="R11">
        <v>-5.8884501457214355E-2</v>
      </c>
      <c r="S11">
        <v>0.55514711141586304</v>
      </c>
      <c r="T11">
        <v>0</v>
      </c>
      <c r="U11">
        <v>1</v>
      </c>
      <c r="V11">
        <v>0</v>
      </c>
      <c r="W11" t="s">
        <v>73</v>
      </c>
    </row>
    <row r="12" spans="1:23" x14ac:dyDescent="0.25">
      <c r="A12" t="s">
        <v>90</v>
      </c>
      <c r="B12" t="s">
        <v>91</v>
      </c>
      <c r="C12">
        <v>-0.12382789701223373</v>
      </c>
      <c r="E12">
        <v>0</v>
      </c>
      <c r="F12">
        <v>1</v>
      </c>
      <c r="G12">
        <v>0</v>
      </c>
      <c r="H12">
        <v>0.1763463020324707</v>
      </c>
      <c r="I12">
        <v>0.66190069913864136</v>
      </c>
      <c r="J12">
        <v>0</v>
      </c>
      <c r="K12">
        <v>1</v>
      </c>
      <c r="L12">
        <v>0</v>
      </c>
      <c r="M12">
        <v>8.2709498703479767E-2</v>
      </c>
      <c r="N12">
        <v>0.54859632253646851</v>
      </c>
      <c r="O12">
        <v>0</v>
      </c>
      <c r="P12">
        <v>1</v>
      </c>
      <c r="Q12">
        <v>0</v>
      </c>
      <c r="R12">
        <v>5.4926298558712006E-2</v>
      </c>
      <c r="S12">
        <v>0.55248522758483887</v>
      </c>
      <c r="T12">
        <v>0</v>
      </c>
      <c r="U12">
        <v>1</v>
      </c>
      <c r="V12">
        <v>0</v>
      </c>
      <c r="W12" t="s">
        <v>73</v>
      </c>
    </row>
    <row r="13" spans="1:23" x14ac:dyDescent="0.25">
      <c r="A13" s="3" t="s">
        <v>92</v>
      </c>
      <c r="B13" s="3" t="s">
        <v>93</v>
      </c>
      <c r="C13" s="3">
        <v>-8.0938398838043213E-2</v>
      </c>
      <c r="D13" s="3"/>
      <c r="E13" s="3">
        <v>0</v>
      </c>
      <c r="F13" s="3">
        <v>1</v>
      </c>
      <c r="G13" s="3">
        <v>0</v>
      </c>
      <c r="H13" s="3">
        <v>-3.6803700029850006E-2</v>
      </c>
      <c r="I13" s="3">
        <v>0.66695588827133179</v>
      </c>
      <c r="J13" s="3">
        <v>0</v>
      </c>
      <c r="K13" s="3">
        <v>1</v>
      </c>
      <c r="L13" s="3">
        <v>0</v>
      </c>
      <c r="M13" s="3">
        <v>1.9475400447845459E-2</v>
      </c>
      <c r="N13" s="3">
        <v>0.5919232964515686</v>
      </c>
      <c r="O13" s="3">
        <v>0</v>
      </c>
      <c r="P13" s="3">
        <v>1</v>
      </c>
      <c r="Q13" s="3">
        <v>0</v>
      </c>
      <c r="R13" s="3">
        <v>1.9739499315619469E-2</v>
      </c>
      <c r="S13" s="3">
        <v>0.62404781579971313</v>
      </c>
      <c r="T13" s="3">
        <v>0</v>
      </c>
      <c r="U13" s="3">
        <v>1</v>
      </c>
      <c r="V13" s="3">
        <v>0</v>
      </c>
      <c r="W13" s="3" t="s">
        <v>73</v>
      </c>
    </row>
  </sheetData>
  <mergeCells count="1">
    <mergeCell ref="A1:W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724D-720B-428D-9A66-DCE5AF98F254}">
  <dimension ref="A1:F10"/>
  <sheetViews>
    <sheetView workbookViewId="0">
      <selection activeCell="F6" sqref="F6"/>
    </sheetView>
  </sheetViews>
  <sheetFormatPr defaultRowHeight="15" x14ac:dyDescent="0.25"/>
  <cols>
    <col min="1" max="1" width="17.42578125" bestFit="1" customWidth="1"/>
    <col min="3" max="4" width="20.5703125" style="7" bestFit="1" customWidth="1"/>
    <col min="5" max="6" width="32.85546875" style="4" bestFit="1" customWidth="1"/>
  </cols>
  <sheetData>
    <row r="1" spans="1:6" ht="49.5" customHeight="1" x14ac:dyDescent="0.25">
      <c r="A1" s="15" t="s">
        <v>107</v>
      </c>
      <c r="B1" s="15"/>
      <c r="C1" s="15"/>
      <c r="D1" s="15"/>
      <c r="E1" s="15"/>
      <c r="F1" s="15"/>
    </row>
    <row r="2" spans="1:6" x14ac:dyDescent="0.25">
      <c r="A2" t="s">
        <v>104</v>
      </c>
      <c r="B2" t="s">
        <v>95</v>
      </c>
      <c r="C2" s="7" t="s">
        <v>100</v>
      </c>
      <c r="D2" s="7" t="s">
        <v>101</v>
      </c>
      <c r="E2" s="4" t="s">
        <v>102</v>
      </c>
      <c r="F2" s="4" t="s">
        <v>103</v>
      </c>
    </row>
    <row r="3" spans="1:6" x14ac:dyDescent="0.25">
      <c r="A3" t="s">
        <v>50</v>
      </c>
      <c r="B3" t="s">
        <v>96</v>
      </c>
      <c r="C3" s="7">
        <v>3.3937599999999999</v>
      </c>
      <c r="D3" s="7">
        <v>1.919524</v>
      </c>
      <c r="E3" s="5">
        <v>0.51336369999999998</v>
      </c>
      <c r="F3" s="5">
        <v>0.29036050000000002</v>
      </c>
    </row>
    <row r="4" spans="1:6" x14ac:dyDescent="0.25">
      <c r="A4" t="s">
        <v>50</v>
      </c>
      <c r="B4" t="s">
        <v>97</v>
      </c>
      <c r="C4" s="7">
        <v>3.0900219999999998</v>
      </c>
      <c r="D4" s="7">
        <v>1.3771720000000001</v>
      </c>
      <c r="E4" s="5">
        <v>0.52166310000000005</v>
      </c>
      <c r="F4" s="5">
        <v>0.2324966</v>
      </c>
    </row>
    <row r="5" spans="1:6" x14ac:dyDescent="0.25">
      <c r="A5" t="s">
        <v>50</v>
      </c>
      <c r="B5" t="s">
        <v>98</v>
      </c>
      <c r="C5" s="7">
        <v>3.1475040000000001</v>
      </c>
      <c r="D5" s="7">
        <v>1.632997</v>
      </c>
      <c r="E5" s="5">
        <v>0.67007320000000004</v>
      </c>
      <c r="F5" s="5">
        <v>0.34764929999999999</v>
      </c>
    </row>
    <row r="6" spans="1:6" x14ac:dyDescent="0.25">
      <c r="A6" t="s">
        <v>50</v>
      </c>
      <c r="B6" t="s">
        <v>99</v>
      </c>
      <c r="C6" s="7">
        <v>3.2637</v>
      </c>
      <c r="D6" s="7">
        <v>1.836735</v>
      </c>
      <c r="E6" s="5">
        <v>0.65504019999999996</v>
      </c>
      <c r="F6" s="5">
        <v>0.36864150000000001</v>
      </c>
    </row>
    <row r="7" spans="1:6" x14ac:dyDescent="0.25">
      <c r="A7" t="s">
        <v>73</v>
      </c>
      <c r="B7" t="s">
        <v>96</v>
      </c>
      <c r="C7" s="7">
        <v>2.354393</v>
      </c>
      <c r="D7" s="7">
        <v>0.81653580000000003</v>
      </c>
      <c r="E7" s="5">
        <v>0.70736129999999997</v>
      </c>
      <c r="F7" s="5">
        <v>0.2453226</v>
      </c>
    </row>
    <row r="8" spans="1:6" x14ac:dyDescent="0.25">
      <c r="A8" t="s">
        <v>73</v>
      </c>
      <c r="B8" t="s">
        <v>97</v>
      </c>
      <c r="C8" s="7">
        <v>2.0545740000000001</v>
      </c>
      <c r="D8" s="7">
        <v>1.985608</v>
      </c>
      <c r="E8" s="5">
        <v>0.46082990000000001</v>
      </c>
      <c r="F8" s="5">
        <v>0.44536110000000001</v>
      </c>
    </row>
    <row r="9" spans="1:6" x14ac:dyDescent="0.25">
      <c r="A9" t="s">
        <v>73</v>
      </c>
      <c r="B9" t="s">
        <v>98</v>
      </c>
      <c r="C9" s="7">
        <v>2.2793269999999999</v>
      </c>
      <c r="D9" s="7">
        <v>1.1268689999999999</v>
      </c>
      <c r="E9" s="5">
        <v>0.75404070000000001</v>
      </c>
      <c r="F9" s="5">
        <v>0.3727877</v>
      </c>
    </row>
    <row r="10" spans="1:6" x14ac:dyDescent="0.25">
      <c r="A10" s="3" t="s">
        <v>73</v>
      </c>
      <c r="B10" s="3" t="s">
        <v>99</v>
      </c>
      <c r="C10" s="8">
        <v>2.8703479999999999</v>
      </c>
      <c r="D10" s="8">
        <v>1.024457</v>
      </c>
      <c r="E10" s="6">
        <v>0.8247023</v>
      </c>
      <c r="F10" s="6">
        <v>0.29434480000000002</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22771-6782-4B5B-B386-149372590B6A}">
  <dimension ref="A1:Q33"/>
  <sheetViews>
    <sheetView workbookViewId="0">
      <pane xSplit="1" ySplit="5" topLeftCell="E6" activePane="bottomRight" state="frozen"/>
      <selection pane="topRight" activeCell="B1" sqref="B1"/>
      <selection pane="bottomLeft" activeCell="A6" sqref="A6"/>
      <selection pane="bottomRight" activeCell="A32" sqref="A32:Q32"/>
    </sheetView>
  </sheetViews>
  <sheetFormatPr defaultRowHeight="15" x14ac:dyDescent="0.25"/>
  <cols>
    <col min="1" max="1" width="36.42578125" style="4" bestFit="1" customWidth="1"/>
    <col min="2" max="9" width="19.7109375" style="4" customWidth="1"/>
    <col min="10" max="17" width="15.28515625" style="4" customWidth="1"/>
  </cols>
  <sheetData>
    <row r="1" spans="1:17" x14ac:dyDescent="0.25">
      <c r="A1" s="34" t="s">
        <v>115</v>
      </c>
      <c r="B1" s="34"/>
      <c r="C1" s="34"/>
      <c r="D1" s="34"/>
      <c r="E1" s="34"/>
      <c r="F1" s="34"/>
      <c r="G1" s="34"/>
      <c r="H1" s="34"/>
      <c r="I1" s="34"/>
      <c r="J1" s="34"/>
      <c r="K1" s="34"/>
      <c r="L1" s="35"/>
      <c r="M1" s="35"/>
      <c r="N1" s="35"/>
      <c r="O1" s="35"/>
      <c r="P1" s="35"/>
      <c r="Q1" s="35"/>
    </row>
    <row r="2" spans="1:17" x14ac:dyDescent="0.25">
      <c r="A2" s="4" t="str">
        <f>""</f>
        <v/>
      </c>
      <c r="B2" s="4">
        <v>1</v>
      </c>
      <c r="C2" s="4">
        <v>2</v>
      </c>
      <c r="D2" s="4">
        <v>3</v>
      </c>
      <c r="E2" s="4">
        <v>4</v>
      </c>
      <c r="F2" s="4">
        <v>5</v>
      </c>
      <c r="G2" s="4">
        <v>6</v>
      </c>
      <c r="H2" s="4">
        <v>7</v>
      </c>
      <c r="I2" s="4">
        <v>8</v>
      </c>
      <c r="J2" s="24">
        <v>9</v>
      </c>
      <c r="K2" s="25">
        <v>10</v>
      </c>
      <c r="L2" s="25">
        <v>11</v>
      </c>
      <c r="M2" s="25">
        <v>12</v>
      </c>
      <c r="N2" s="25">
        <v>13</v>
      </c>
      <c r="O2" s="25">
        <v>14</v>
      </c>
      <c r="P2" s="25">
        <v>15</v>
      </c>
      <c r="Q2" s="25">
        <v>16</v>
      </c>
    </row>
    <row r="3" spans="1:17" s="36" customFormat="1" x14ac:dyDescent="0.25">
      <c r="B3" s="21" t="s">
        <v>121</v>
      </c>
      <c r="C3" s="21"/>
      <c r="D3" s="22"/>
      <c r="E3" s="22"/>
      <c r="F3" s="22"/>
      <c r="G3" s="22"/>
      <c r="H3" s="22"/>
      <c r="I3" s="22"/>
      <c r="J3" s="26" t="s">
        <v>120</v>
      </c>
      <c r="K3" s="27"/>
      <c r="L3" s="20"/>
      <c r="M3" s="20"/>
      <c r="N3" s="20"/>
      <c r="O3" s="20"/>
      <c r="P3" s="20"/>
      <c r="Q3" s="20"/>
    </row>
    <row r="4" spans="1:17" ht="30" x14ac:dyDescent="0.25">
      <c r="B4" s="10" t="str">
        <f>"Index of child's mental health"</f>
        <v>Index of child's mental health</v>
      </c>
      <c r="C4" s="10" t="s">
        <v>122</v>
      </c>
      <c r="D4" s="10" t="str">
        <f>"Index of child's mental health"</f>
        <v>Index of child's mental health</v>
      </c>
      <c r="E4" s="10" t="s">
        <v>122</v>
      </c>
      <c r="F4" s="10" t="str">
        <f>"Index of child's mental health"</f>
        <v>Index of child's mental health</v>
      </c>
      <c r="G4" s="10" t="s">
        <v>122</v>
      </c>
      <c r="H4" s="10" t="str">
        <f>"Index of child's mental health"</f>
        <v>Index of child's mental health</v>
      </c>
      <c r="I4" s="10" t="s">
        <v>122</v>
      </c>
      <c r="J4" s="23" t="str">
        <f>"Index of child's mental health"</f>
        <v>Index of child's mental health</v>
      </c>
      <c r="K4" s="10" t="s">
        <v>122</v>
      </c>
      <c r="L4" s="10" t="str">
        <f>"Index of child's mental health"</f>
        <v>Index of child's mental health</v>
      </c>
      <c r="M4" s="10" t="s">
        <v>122</v>
      </c>
      <c r="N4" s="10" t="str">
        <f>"Index of child's mental health"</f>
        <v>Index of child's mental health</v>
      </c>
      <c r="O4" s="10" t="s">
        <v>122</v>
      </c>
      <c r="P4" s="10" t="str">
        <f>"Index of child's mental health"</f>
        <v>Index of child's mental health</v>
      </c>
      <c r="Q4" s="10" t="s">
        <v>122</v>
      </c>
    </row>
    <row r="5" spans="1:17" s="33" customFormat="1" x14ac:dyDescent="0.25">
      <c r="A5" s="31"/>
      <c r="B5" s="31" t="s">
        <v>140</v>
      </c>
      <c r="C5" s="31" t="s">
        <v>140</v>
      </c>
      <c r="D5" s="31" t="s">
        <v>137</v>
      </c>
      <c r="E5" s="31" t="s">
        <v>137</v>
      </c>
      <c r="F5" s="31" t="s">
        <v>138</v>
      </c>
      <c r="G5" s="31" t="s">
        <v>138</v>
      </c>
      <c r="H5" s="31" t="s">
        <v>139</v>
      </c>
      <c r="I5" s="31" t="s">
        <v>139</v>
      </c>
      <c r="J5" s="32" t="s">
        <v>140</v>
      </c>
      <c r="K5" s="31" t="s">
        <v>140</v>
      </c>
      <c r="L5" s="31" t="s">
        <v>137</v>
      </c>
      <c r="M5" s="31" t="s">
        <v>137</v>
      </c>
      <c r="N5" s="31" t="s">
        <v>138</v>
      </c>
      <c r="O5" s="31" t="s">
        <v>138</v>
      </c>
      <c r="P5" s="31" t="s">
        <v>139</v>
      </c>
      <c r="Q5" s="31" t="s">
        <v>139</v>
      </c>
    </row>
    <row r="6" spans="1:17" x14ac:dyDescent="0.25">
      <c r="A6" s="4" t="s">
        <v>119</v>
      </c>
      <c r="B6" s="4" t="str">
        <f>"0.374***"</f>
        <v>0.374***</v>
      </c>
      <c r="C6" s="4" t="str">
        <f>""</f>
        <v/>
      </c>
      <c r="D6" s="4" t="str">
        <f>"0.613***"</f>
        <v>0.613***</v>
      </c>
      <c r="E6" s="4" t="str">
        <f>""</f>
        <v/>
      </c>
      <c r="F6" s="4" t="str">
        <f>"0.341***"</f>
        <v>0.341***</v>
      </c>
      <c r="G6" s="4" t="str">
        <f>""</f>
        <v/>
      </c>
      <c r="H6" s="4" t="str">
        <f>"0.412***"</f>
        <v>0.412***</v>
      </c>
      <c r="I6" s="4" t="str">
        <f>""</f>
        <v/>
      </c>
      <c r="J6" s="30" t="str">
        <f>"0.410***"</f>
        <v>0.410***</v>
      </c>
      <c r="K6" s="4" t="str">
        <f>""</f>
        <v/>
      </c>
      <c r="L6" s="4" t="str">
        <f>"0.486***"</f>
        <v>0.486***</v>
      </c>
      <c r="M6" s="4" t="str">
        <f>""</f>
        <v/>
      </c>
      <c r="N6" s="4" t="str">
        <f>"0.375***"</f>
        <v>0.375***</v>
      </c>
      <c r="O6" s="4" t="str">
        <f>""</f>
        <v/>
      </c>
      <c r="P6" s="4" t="str">
        <f>"0.435***"</f>
        <v>0.435***</v>
      </c>
      <c r="Q6" s="4" t="str">
        <f>""</f>
        <v/>
      </c>
    </row>
    <row r="7" spans="1:17" x14ac:dyDescent="0.25">
      <c r="A7" s="4" t="str">
        <f>""</f>
        <v/>
      </c>
      <c r="B7" s="4" t="str">
        <f>"(0.028)"</f>
        <v>(0.028)</v>
      </c>
      <c r="C7" s="4" t="str">
        <f>""</f>
        <v/>
      </c>
      <c r="D7" s="4" t="str">
        <f>"(0.057)"</f>
        <v>(0.057)</v>
      </c>
      <c r="E7" s="4" t="str">
        <f>""</f>
        <v/>
      </c>
      <c r="F7" s="4" t="str">
        <f>"(0.082)"</f>
        <v>(0.082)</v>
      </c>
      <c r="G7" s="4" t="str">
        <f>""</f>
        <v/>
      </c>
      <c r="H7" s="4" t="str">
        <f>"(0.030)"</f>
        <v>(0.030)</v>
      </c>
      <c r="I7" s="4" t="str">
        <f>""</f>
        <v/>
      </c>
      <c r="J7" s="30" t="str">
        <f>"(0.026)"</f>
        <v>(0.026)</v>
      </c>
      <c r="K7" s="4" t="str">
        <f>""</f>
        <v/>
      </c>
      <c r="L7" s="4" t="str">
        <f>"(0.087)"</f>
        <v>(0.087)</v>
      </c>
      <c r="M7" s="4" t="str">
        <f>""</f>
        <v/>
      </c>
      <c r="N7" s="4" t="str">
        <f>"(0.082)"</f>
        <v>(0.082)</v>
      </c>
      <c r="O7" s="4" t="str">
        <f>""</f>
        <v/>
      </c>
      <c r="P7" s="4" t="str">
        <f>"(0.031)"</f>
        <v>(0.031)</v>
      </c>
      <c r="Q7" s="4" t="str">
        <f>""</f>
        <v/>
      </c>
    </row>
    <row r="8" spans="1:17" x14ac:dyDescent="0.25">
      <c r="A8" s="4" t="s">
        <v>116</v>
      </c>
      <c r="B8" s="4" t="str">
        <f>"-0.011"</f>
        <v>-0.011</v>
      </c>
      <c r="C8" s="4" t="str">
        <f>"0.404***"</f>
        <v>0.404***</v>
      </c>
      <c r="D8" s="4" t="str">
        <f>"-0.117*"</f>
        <v>-0.117*</v>
      </c>
      <c r="E8" s="4" t="str">
        <f>"0.413***"</f>
        <v>0.413***</v>
      </c>
      <c r="F8" s="4" t="str">
        <f>"0.105"</f>
        <v>0.105</v>
      </c>
      <c r="G8" s="4" t="str">
        <f>"0.471***"</f>
        <v>0.471***</v>
      </c>
      <c r="H8" s="4" t="str">
        <f>"-0.095**"</f>
        <v>-0.095**</v>
      </c>
      <c r="I8" s="4" t="str">
        <f>"0.392***"</f>
        <v>0.392***</v>
      </c>
      <c r="J8" s="30" t="str">
        <f>"-0.035"</f>
        <v>-0.035</v>
      </c>
      <c r="K8" s="4" t="str">
        <f>"0.420***"</f>
        <v>0.420***</v>
      </c>
      <c r="L8" s="4" t="str">
        <f>"-0.040"</f>
        <v>-0.040</v>
      </c>
      <c r="M8" s="4" t="str">
        <f>"0.412***"</f>
        <v>0.412***</v>
      </c>
      <c r="N8" s="4" t="str">
        <f>"0.022"</f>
        <v>0.022</v>
      </c>
      <c r="O8" s="4" t="str">
        <f>"0.494***"</f>
        <v>0.494***</v>
      </c>
      <c r="P8" s="4" t="str">
        <f>"-0.104***"</f>
        <v>-0.104***</v>
      </c>
      <c r="Q8" s="4" t="str">
        <f>"0.445***"</f>
        <v>0.445***</v>
      </c>
    </row>
    <row r="9" spans="1:17" x14ac:dyDescent="0.25">
      <c r="A9" s="4" t="str">
        <f>""</f>
        <v/>
      </c>
      <c r="B9" s="4" t="str">
        <f>"(0.027)"</f>
        <v>(0.027)</v>
      </c>
      <c r="C9" s="4" t="str">
        <f>"(0.023)"</f>
        <v>(0.023)</v>
      </c>
      <c r="D9" s="4" t="str">
        <f>"(0.056)"</f>
        <v>(0.056)</v>
      </c>
      <c r="E9" s="4" t="str">
        <f>"(0.060)"</f>
        <v>(0.060)</v>
      </c>
      <c r="F9" s="4" t="str">
        <f>"(0.079)"</f>
        <v>(0.079)</v>
      </c>
      <c r="G9" s="4" t="str">
        <f>"(0.062)"</f>
        <v>(0.062)</v>
      </c>
      <c r="H9" s="4" t="str">
        <f>"(0.030)"</f>
        <v>(0.030)</v>
      </c>
      <c r="I9" s="4" t="str">
        <f>"(0.028)"</f>
        <v>(0.028)</v>
      </c>
      <c r="J9" s="30" t="str">
        <f>"(0.025)"</f>
        <v>(0.025)</v>
      </c>
      <c r="K9" s="4" t="str">
        <f>"(0.021)"</f>
        <v>(0.021)</v>
      </c>
      <c r="L9" s="4" t="str">
        <f>"(0.070)"</f>
        <v>(0.070)</v>
      </c>
      <c r="M9" s="4" t="str">
        <f>"(0.057)"</f>
        <v>(0.057)</v>
      </c>
      <c r="N9" s="4" t="str">
        <f>"(0.080)"</f>
        <v>(0.080)</v>
      </c>
      <c r="O9" s="4" t="str">
        <f>"(0.061)"</f>
        <v>(0.061)</v>
      </c>
      <c r="P9" s="4" t="str">
        <f>"(0.030)"</f>
        <v>(0.030)</v>
      </c>
      <c r="Q9" s="4" t="str">
        <f>"(0.027)"</f>
        <v>(0.027)</v>
      </c>
    </row>
    <row r="10" spans="1:17" x14ac:dyDescent="0.25">
      <c r="A10" s="4" t="s">
        <v>117</v>
      </c>
      <c r="B10" s="4" t="str">
        <f>"0.137***"</f>
        <v>0.137***</v>
      </c>
      <c r="C10" s="4" t="str">
        <f>"0.195***"</f>
        <v>0.195***</v>
      </c>
      <c r="D10" s="4" t="str">
        <f>"0.032"</f>
        <v>0.032</v>
      </c>
      <c r="E10" s="4" t="str">
        <f>"0.184**"</f>
        <v>0.184**</v>
      </c>
      <c r="F10" s="4" t="str">
        <f>"0.131"</f>
        <v>0.131</v>
      </c>
      <c r="G10" s="4" t="str">
        <f>"0.086"</f>
        <v>0.086</v>
      </c>
      <c r="H10" s="4" t="str">
        <f>"0.162***"</f>
        <v>0.162***</v>
      </c>
      <c r="I10" s="4" t="str">
        <f>"0.232***"</f>
        <v>0.232***</v>
      </c>
      <c r="J10" s="30" t="str">
        <f>"0.124***"</f>
        <v>0.124***</v>
      </c>
      <c r="K10" s="4" t="str">
        <f>"0.192***"</f>
        <v>0.192***</v>
      </c>
      <c r="L10" s="4" t="str">
        <f>"-0.019"</f>
        <v>-0.019</v>
      </c>
      <c r="M10" s="4" t="str">
        <f>"0.193**"</f>
        <v>0.193**</v>
      </c>
      <c r="N10" s="4" t="str">
        <f>"0.184**"</f>
        <v>0.184**</v>
      </c>
      <c r="O10" s="4" t="str">
        <f>"0.095"</f>
        <v>0.095</v>
      </c>
      <c r="P10" s="4" t="str">
        <f>"0.155***"</f>
        <v>0.155***</v>
      </c>
      <c r="Q10" s="4" t="str">
        <f>"0.225***"</f>
        <v>0.225***</v>
      </c>
    </row>
    <row r="11" spans="1:17" x14ac:dyDescent="0.25">
      <c r="A11" s="4" t="str">
        <f>""</f>
        <v/>
      </c>
      <c r="B11" s="4" t="str">
        <f>"(0.023)"</f>
        <v>(0.023)</v>
      </c>
      <c r="C11" s="4" t="str">
        <f>"(0.021)"</f>
        <v>(0.021)</v>
      </c>
      <c r="D11" s="4" t="str">
        <f>"(0.052)"</f>
        <v>(0.052)</v>
      </c>
      <c r="E11" s="4" t="str">
        <f>"(0.060)"</f>
        <v>(0.060)</v>
      </c>
      <c r="F11" s="4" t="str">
        <f>"(0.067)"</f>
        <v>(0.067)</v>
      </c>
      <c r="G11" s="4" t="str">
        <f>"(0.060)"</f>
        <v>(0.060)</v>
      </c>
      <c r="H11" s="4" t="str">
        <f>"(0.025)"</f>
        <v>(0.025)</v>
      </c>
      <c r="I11" s="4" t="str">
        <f>"(0.025)"</f>
        <v>(0.025)</v>
      </c>
      <c r="J11" s="30" t="str">
        <f>"(0.021)"</f>
        <v>(0.021)</v>
      </c>
      <c r="K11" s="4" t="str">
        <f>"(0.020)"</f>
        <v>(0.020)</v>
      </c>
      <c r="L11" s="4" t="str">
        <f>"(0.064)"</f>
        <v>(0.064)</v>
      </c>
      <c r="M11" s="4" t="str">
        <f>"(0.059)"</f>
        <v>(0.059)</v>
      </c>
      <c r="N11" s="4" t="str">
        <f>"(0.066)"</f>
        <v>(0.066)</v>
      </c>
      <c r="O11" s="4" t="str">
        <f>"(0.058)"</f>
        <v>(0.058)</v>
      </c>
      <c r="P11" s="4" t="str">
        <f>"(0.025)"</f>
        <v>(0.025)</v>
      </c>
      <c r="Q11" s="4" t="str">
        <f>"(0.024)"</f>
        <v>(0.024)</v>
      </c>
    </row>
    <row r="12" spans="1:17" x14ac:dyDescent="0.25">
      <c r="A12" s="4" t="s">
        <v>118</v>
      </c>
      <c r="B12" s="4" t="str">
        <f>"0.272***"</f>
        <v>0.272***</v>
      </c>
      <c r="C12" s="4" t="str">
        <f>"0.150***"</f>
        <v>0.150***</v>
      </c>
      <c r="D12" s="4" t="str">
        <f>""</f>
        <v/>
      </c>
      <c r="E12" s="4" t="str">
        <f>""</f>
        <v/>
      </c>
      <c r="F12" s="4" t="str">
        <f>"0.314***"</f>
        <v>0.314***</v>
      </c>
      <c r="G12" s="4" t="str">
        <f>"-0.044"</f>
        <v>-0.044</v>
      </c>
      <c r="H12" s="4" t="str">
        <f>"0.232***"</f>
        <v>0.232***</v>
      </c>
      <c r="I12" s="4" t="str">
        <f>"0.246***"</f>
        <v>0.246***</v>
      </c>
      <c r="J12" s="30" t="str">
        <f>"0.274***"</f>
        <v>0.274***</v>
      </c>
      <c r="K12" s="4" t="str">
        <f>"0.172***"</f>
        <v>0.172***</v>
      </c>
      <c r="L12" s="4" t="str">
        <f>"0.377***"</f>
        <v>0.377***</v>
      </c>
      <c r="M12" s="4" t="str">
        <f>"0.292***"</f>
        <v>0.292***</v>
      </c>
      <c r="N12" s="4" t="str">
        <f>"0.314***"</f>
        <v>0.314***</v>
      </c>
      <c r="O12" s="4" t="str">
        <f>"-0.048"</f>
        <v>-0.048</v>
      </c>
      <c r="P12" s="4" t="str">
        <f>"0.207***"</f>
        <v>0.207***</v>
      </c>
      <c r="Q12" s="4" t="str">
        <f>"0.291***"</f>
        <v>0.291***</v>
      </c>
    </row>
    <row r="13" spans="1:17" x14ac:dyDescent="0.25">
      <c r="A13" s="4" t="str">
        <f>""</f>
        <v/>
      </c>
      <c r="B13" s="4" t="str">
        <f>"(0.022)"</f>
        <v>(0.022)</v>
      </c>
      <c r="C13" s="4" t="str">
        <f>"(0.021)"</f>
        <v>(0.021)</v>
      </c>
      <c r="D13" s="4" t="str">
        <f>""</f>
        <v/>
      </c>
      <c r="E13" s="4" t="str">
        <f>""</f>
        <v/>
      </c>
      <c r="F13" s="4" t="str">
        <f>"(0.061)"</f>
        <v>(0.061)</v>
      </c>
      <c r="G13" s="4" t="str">
        <f>"(0.054)"</f>
        <v>(0.054)</v>
      </c>
      <c r="H13" s="4" t="str">
        <f>"(0.026)"</f>
        <v>(0.026)</v>
      </c>
      <c r="I13" s="4" t="str">
        <f>"(0.025)"</f>
        <v>(0.025)</v>
      </c>
      <c r="J13" s="30" t="str">
        <f>"(0.021)"</f>
        <v>(0.021)</v>
      </c>
      <c r="K13" s="4" t="str">
        <f>"(0.020)"</f>
        <v>(0.020)</v>
      </c>
      <c r="L13" s="4" t="str">
        <f>"(0.067)"</f>
        <v>(0.067)</v>
      </c>
      <c r="M13" s="4" t="str">
        <f>"(0.060)"</f>
        <v>(0.060)</v>
      </c>
      <c r="N13" s="4" t="str">
        <f>"(0.061)"</f>
        <v>(0.061)</v>
      </c>
      <c r="O13" s="4" t="str">
        <f>"(0.054)"</f>
        <v>(0.054)</v>
      </c>
      <c r="P13" s="4" t="str">
        <f>"(0.026)"</f>
        <v>(0.026)</v>
      </c>
      <c r="Q13" s="4" t="str">
        <f>"(0.025)"</f>
        <v>(0.025)</v>
      </c>
    </row>
    <row r="14" spans="1:17" x14ac:dyDescent="0.25">
      <c r="A14" s="4" t="s">
        <v>108</v>
      </c>
      <c r="B14" s="4" t="str">
        <f>"0.240***"</f>
        <v>0.240***</v>
      </c>
      <c r="C14" s="4" t="str">
        <f>"0.175***"</f>
        <v>0.175***</v>
      </c>
      <c r="D14" s="4" t="str">
        <f>"0.382***"</f>
        <v>0.382***</v>
      </c>
      <c r="E14" s="4" t="str">
        <f>"0.118"</f>
        <v>0.118</v>
      </c>
      <c r="F14" s="4" t="str">
        <f>"0.150"</f>
        <v>0.150</v>
      </c>
      <c r="G14" s="4" t="str">
        <f>"0.268*"</f>
        <v>0.268*</v>
      </c>
      <c r="H14" s="4" t="str">
        <f>"0.337***"</f>
        <v>0.337***</v>
      </c>
      <c r="I14" s="4" t="str">
        <f>"0.069"</f>
        <v>0.069</v>
      </c>
      <c r="J14" s="30" t="str">
        <f>"0.252***"</f>
        <v>0.252***</v>
      </c>
      <c r="K14" s="4" t="str">
        <f>"0.213***"</f>
        <v>0.213***</v>
      </c>
      <c r="L14" s="4" t="str">
        <f>"0.347**"</f>
        <v>0.347**</v>
      </c>
      <c r="M14" s="4" t="str">
        <f>"0.134"</f>
        <v>0.134</v>
      </c>
      <c r="N14" s="4" t="str">
        <f>"0.146"</f>
        <v>0.146</v>
      </c>
      <c r="O14" s="4" t="str">
        <f>"0.244*"</f>
        <v>0.244*</v>
      </c>
      <c r="P14" s="4" t="str">
        <f>"0.328***"</f>
        <v>0.328***</v>
      </c>
      <c r="Q14" s="4" t="str">
        <f>"0.084"</f>
        <v>0.084</v>
      </c>
    </row>
    <row r="15" spans="1:17" x14ac:dyDescent="0.25">
      <c r="A15" s="4" t="str">
        <f>""</f>
        <v/>
      </c>
      <c r="B15" s="4" t="str">
        <f>"(0.044)"</f>
        <v>(0.044)</v>
      </c>
      <c r="C15" s="4" t="str">
        <f>"(0.042)"</f>
        <v>(0.042)</v>
      </c>
      <c r="D15" s="4" t="str">
        <f>"(0.101)"</f>
        <v>(0.101)</v>
      </c>
      <c r="E15" s="4" t="str">
        <f>"(0.119)"</f>
        <v>(0.119)</v>
      </c>
      <c r="F15" s="4" t="str">
        <f>"(0.133)"</f>
        <v>(0.133)</v>
      </c>
      <c r="G15" s="4" t="str">
        <f>"(0.117)"</f>
        <v>(0.117)</v>
      </c>
      <c r="H15" s="4" t="str">
        <f>"(0.049)"</f>
        <v>(0.049)</v>
      </c>
      <c r="I15" s="4" t="str">
        <f>"(0.050)"</f>
        <v>(0.050)</v>
      </c>
      <c r="J15" s="30" t="str">
        <f>"(0.041)"</f>
        <v>(0.041)</v>
      </c>
      <c r="K15" s="4" t="str">
        <f>"(0.040)"</f>
        <v>(0.040)</v>
      </c>
      <c r="L15" s="4" t="str">
        <f>"(0.123)"</f>
        <v>(0.123)</v>
      </c>
      <c r="M15" s="4" t="str">
        <f>"(0.118)"</f>
        <v>(0.118)</v>
      </c>
      <c r="N15" s="4" t="str">
        <f>"(0.133)"</f>
        <v>(0.133)</v>
      </c>
      <c r="O15" s="4" t="str">
        <f>"(0.117)"</f>
        <v>(0.117)</v>
      </c>
      <c r="P15" s="4" t="str">
        <f>"(0.049)"</f>
        <v>(0.049)</v>
      </c>
      <c r="Q15" s="4" t="str">
        <f>"(0.049)"</f>
        <v>(0.049)</v>
      </c>
    </row>
    <row r="16" spans="1:17" x14ac:dyDescent="0.25">
      <c r="A16" s="4" t="s">
        <v>109</v>
      </c>
      <c r="B16" s="4" t="str">
        <f>"0.481***"</f>
        <v>0.481***</v>
      </c>
      <c r="C16" s="4" t="str">
        <f>"0.155"</f>
        <v>0.155</v>
      </c>
      <c r="D16" s="4" t="str">
        <f>"0.639*"</f>
        <v>0.639*</v>
      </c>
      <c r="E16" s="4" t="str">
        <f>"-0.295"</f>
        <v>-0.295</v>
      </c>
      <c r="F16" s="4" t="str">
        <f>"0.881***"</f>
        <v>0.881***</v>
      </c>
      <c r="G16" s="4" t="str">
        <f>"0.468*"</f>
        <v>0.468*</v>
      </c>
      <c r="H16" s="4" t="str">
        <f>"0.226"</f>
        <v>0.226</v>
      </c>
      <c r="I16" s="4" t="str">
        <f>"-0.089"</f>
        <v>-0.089</v>
      </c>
      <c r="J16" s="30" t="str">
        <f>"0.471***"</f>
        <v>0.471***</v>
      </c>
      <c r="K16" s="4" t="str">
        <f>"0.021"</f>
        <v>0.021</v>
      </c>
      <c r="L16" s="4" t="str">
        <f>"0.568"</f>
        <v>0.568</v>
      </c>
      <c r="M16" s="4" t="str">
        <f>"-0.558"</f>
        <v>-0.558</v>
      </c>
      <c r="N16" s="4" t="str">
        <f>"0.863***"</f>
        <v>0.863***</v>
      </c>
      <c r="O16" s="4" t="str">
        <f>"0.332"</f>
        <v>0.332</v>
      </c>
      <c r="P16" s="4" t="str">
        <f>"0.245"</f>
        <v>0.245</v>
      </c>
      <c r="Q16" s="4" t="str">
        <f>"-0.116"</f>
        <v>-0.116</v>
      </c>
    </row>
    <row r="17" spans="1:17" x14ac:dyDescent="0.25">
      <c r="A17" s="4" t="str">
        <f>""</f>
        <v/>
      </c>
      <c r="B17" s="4" t="str">
        <f>"(0.108)"</f>
        <v>(0.108)</v>
      </c>
      <c r="C17" s="4" t="str">
        <f>"(0.103)"</f>
        <v>(0.103)</v>
      </c>
      <c r="D17" s="4" t="str">
        <f>"(0.291)"</f>
        <v>(0.291)</v>
      </c>
      <c r="E17" s="4" t="str">
        <f>"(0.341)"</f>
        <v>(0.341)</v>
      </c>
      <c r="F17" s="4" t="str">
        <f>"(0.251)"</f>
        <v>(0.251)</v>
      </c>
      <c r="G17" s="4" t="str">
        <f>"(0.221)"</f>
        <v>(0.221)</v>
      </c>
      <c r="H17" s="4" t="str">
        <f>"(0.137)"</f>
        <v>(0.137)</v>
      </c>
      <c r="I17" s="4" t="str">
        <f>"(0.140)"</f>
        <v>(0.140)</v>
      </c>
      <c r="J17" s="30" t="str">
        <f>"(0.102)"</f>
        <v>(0.102)</v>
      </c>
      <c r="K17" s="4" t="str">
        <f>"(0.098)"</f>
        <v>(0.098)</v>
      </c>
      <c r="L17" s="4" t="str">
        <f>"(0.331)"</f>
        <v>(0.331)</v>
      </c>
      <c r="M17" s="4" t="str">
        <f>"(0.314)"</f>
        <v>(0.314)</v>
      </c>
      <c r="N17" s="4" t="str">
        <f>"(0.248)"</f>
        <v>(0.248)</v>
      </c>
      <c r="O17" s="4" t="str">
        <f>"(0.218)"</f>
        <v>(0.218)</v>
      </c>
      <c r="P17" s="4" t="str">
        <f>"(0.136)"</f>
        <v>(0.136)</v>
      </c>
      <c r="Q17" s="4" t="str">
        <f>"(0.137)"</f>
        <v>(0.137)</v>
      </c>
    </row>
    <row r="18" spans="1:17" x14ac:dyDescent="0.25">
      <c r="A18" s="4" t="s">
        <v>110</v>
      </c>
      <c r="B18" s="4" t="str">
        <f>"0.276*"</f>
        <v>0.276*</v>
      </c>
      <c r="C18" s="4" t="str">
        <f>"-0.017"</f>
        <v>-0.017</v>
      </c>
      <c r="D18" s="4" t="str">
        <f>"0.522"</f>
        <v>0.522</v>
      </c>
      <c r="E18" s="4" t="str">
        <f>"-0.364"</f>
        <v>-0.364</v>
      </c>
      <c r="F18" s="4" t="str">
        <f>"0.635*"</f>
        <v>0.635*</v>
      </c>
      <c r="G18" s="4" t="str">
        <f>"0.452*"</f>
        <v>0.452*</v>
      </c>
      <c r="H18" s="4" t="str">
        <f>"0.091"</f>
        <v>0.091</v>
      </c>
      <c r="I18" s="4" t="str">
        <f>"-0.292*"</f>
        <v>-0.292*</v>
      </c>
      <c r="J18" s="30" t="str">
        <f>"0.314**"</f>
        <v>0.314**</v>
      </c>
      <c r="K18" s="4" t="str">
        <f>"-0.105"</f>
        <v>-0.105</v>
      </c>
      <c r="L18" s="4" t="str">
        <f>"0.635"</f>
        <v>0.635</v>
      </c>
      <c r="M18" s="4" t="str">
        <f>"-0.646*"</f>
        <v>-0.646*</v>
      </c>
      <c r="N18" s="4" t="str">
        <f>"0.591*"</f>
        <v>0.591*</v>
      </c>
      <c r="O18" s="4" t="str">
        <f>"0.370"</f>
        <v>0.370</v>
      </c>
      <c r="P18" s="4" t="str">
        <f>"0.105"</f>
        <v>0.105</v>
      </c>
      <c r="Q18" s="4" t="str">
        <f>"-0.293*"</f>
        <v>-0.293*</v>
      </c>
    </row>
    <row r="19" spans="1:17" x14ac:dyDescent="0.25">
      <c r="A19" s="4" t="str">
        <f>""</f>
        <v/>
      </c>
      <c r="B19" s="4" t="str">
        <f>"(0.111)"</f>
        <v>(0.111)</v>
      </c>
      <c r="C19" s="4" t="str">
        <f>"(0.106)"</f>
        <v>(0.106)</v>
      </c>
      <c r="D19" s="4" t="str">
        <f>"(0.297)"</f>
        <v>(0.297)</v>
      </c>
      <c r="E19" s="4" t="str">
        <f>"(0.348)"</f>
        <v>(0.348)</v>
      </c>
      <c r="F19" s="4" t="str">
        <f>"(0.259)"</f>
        <v>(0.259)</v>
      </c>
      <c r="G19" s="4" t="str">
        <f>"(0.229)"</f>
        <v>(0.229)</v>
      </c>
      <c r="H19" s="4" t="str">
        <f>"(0.140)"</f>
        <v>(0.140)</v>
      </c>
      <c r="I19" s="4" t="str">
        <f>"(0.143)"</f>
        <v>(0.143)</v>
      </c>
      <c r="J19" s="30" t="str">
        <f>"(0.105)"</f>
        <v>(0.105)</v>
      </c>
      <c r="K19" s="4" t="str">
        <f>"(0.101)"</f>
        <v>(0.101)</v>
      </c>
      <c r="L19" s="4" t="str">
        <f>"(0.341)"</f>
        <v>(0.341)</v>
      </c>
      <c r="M19" s="4" t="str">
        <f>"(0.323)"</f>
        <v>(0.323)</v>
      </c>
      <c r="N19" s="4" t="str">
        <f>"(0.254)"</f>
        <v>(0.254)</v>
      </c>
      <c r="O19" s="4" t="str">
        <f>"(0.224)"</f>
        <v>(0.224)</v>
      </c>
      <c r="P19" s="4" t="str">
        <f>"(0.139)"</f>
        <v>(0.139)</v>
      </c>
      <c r="Q19" s="4" t="str">
        <f>"(0.140)"</f>
        <v>(0.140)</v>
      </c>
    </row>
    <row r="20" spans="1:17" x14ac:dyDescent="0.25">
      <c r="A20" s="4" t="s">
        <v>111</v>
      </c>
      <c r="B20" s="4" t="str">
        <f>"0.384***"</f>
        <v>0.384***</v>
      </c>
      <c r="C20" s="4" t="str">
        <f>"0.051"</f>
        <v>0.051</v>
      </c>
      <c r="D20" s="4" t="str">
        <f>"0.556"</f>
        <v>0.556</v>
      </c>
      <c r="E20" s="4" t="str">
        <f>"0.061"</f>
        <v>0.061</v>
      </c>
      <c r="F20" s="4" t="str">
        <f>"1.001***"</f>
        <v>1.001***</v>
      </c>
      <c r="G20" s="4" t="str">
        <f>"0.306"</f>
        <v>0.306</v>
      </c>
      <c r="H20" s="4" t="str">
        <f>"0.067"</f>
        <v>0.067</v>
      </c>
      <c r="I20" s="4" t="str">
        <f>"-0.065"</f>
        <v>-0.065</v>
      </c>
      <c r="J20" s="30" t="str">
        <f>"0.430***"</f>
        <v>0.430***</v>
      </c>
      <c r="K20" s="4" t="str">
        <f>"-0.025"</f>
        <v>-0.025</v>
      </c>
      <c r="L20" s="4" t="str">
        <f>"0.668"</f>
        <v>0.668</v>
      </c>
      <c r="M20" s="4" t="str">
        <f>"-0.127"</f>
        <v>-0.127</v>
      </c>
      <c r="N20" s="4" t="str">
        <f>"1.002***"</f>
        <v>1.002***</v>
      </c>
      <c r="O20" s="4" t="str">
        <f>"0.178"</f>
        <v>0.178</v>
      </c>
      <c r="P20" s="4" t="str">
        <f>"0.091"</f>
        <v>0.091</v>
      </c>
      <c r="Q20" s="4" t="str">
        <f>"-0.098"</f>
        <v>-0.098</v>
      </c>
    </row>
    <row r="21" spans="1:17" x14ac:dyDescent="0.25">
      <c r="A21" s="4" t="str">
        <f>""</f>
        <v/>
      </c>
      <c r="B21" s="4" t="str">
        <f>"(0.110)"</f>
        <v>(0.110)</v>
      </c>
      <c r="C21" s="4" t="str">
        <f>"(0.106)"</f>
        <v>(0.106)</v>
      </c>
      <c r="D21" s="4" t="str">
        <f>"(0.316)"</f>
        <v>(0.316)</v>
      </c>
      <c r="E21" s="4" t="str">
        <f>"(0.371)"</f>
        <v>(0.371)</v>
      </c>
      <c r="F21" s="4" t="str">
        <f>"(0.265)"</f>
        <v>(0.265)</v>
      </c>
      <c r="G21" s="4" t="str">
        <f>"(0.235)"</f>
        <v>(0.235)</v>
      </c>
      <c r="H21" s="4" t="str">
        <f>"(0.139)"</f>
        <v>(0.139)</v>
      </c>
      <c r="I21" s="4" t="str">
        <f>"(0.142)"</f>
        <v>(0.142)</v>
      </c>
      <c r="J21" s="30" t="str">
        <f>"(0.105)"</f>
        <v>(0.105)</v>
      </c>
      <c r="K21" s="4" t="str">
        <f>"(0.102)"</f>
        <v>(0.102)</v>
      </c>
      <c r="L21" s="4" t="str">
        <f>"(0.364)"</f>
        <v>(0.364)</v>
      </c>
      <c r="M21" s="4" t="str">
        <f>"(0.349)"</f>
        <v>(0.349)</v>
      </c>
      <c r="N21" s="4" t="str">
        <f>"(0.263)"</f>
        <v>(0.263)</v>
      </c>
      <c r="O21" s="4" t="str">
        <f>"(0.233)"</f>
        <v>(0.233)</v>
      </c>
      <c r="P21" s="4" t="str">
        <f>"(0.138)"</f>
        <v>(0.138)</v>
      </c>
      <c r="Q21" s="4" t="str">
        <f>"(0.139)"</f>
        <v>(0.139)</v>
      </c>
    </row>
    <row r="22" spans="1:17" x14ac:dyDescent="0.25">
      <c r="A22" s="4" t="s">
        <v>112</v>
      </c>
      <c r="B22" s="4" t="str">
        <f>"0.391***"</f>
        <v>0.391***</v>
      </c>
      <c r="C22" s="4" t="str">
        <f>"-0.129"</f>
        <v>-0.129</v>
      </c>
      <c r="D22" s="4" t="str">
        <f>"0.537"</f>
        <v>0.537</v>
      </c>
      <c r="E22" s="4" t="str">
        <f>"0.042"</f>
        <v>0.042</v>
      </c>
      <c r="F22" s="4" t="str">
        <f>"0.827***"</f>
        <v>0.827***</v>
      </c>
      <c r="G22" s="4" t="str">
        <f>"-0.168"</f>
        <v>-0.168</v>
      </c>
      <c r="H22" s="4" t="str">
        <f>"0.066"</f>
        <v>0.066</v>
      </c>
      <c r="I22" s="4" t="str">
        <f>"-0.140"</f>
        <v>-0.140</v>
      </c>
      <c r="J22" s="30" t="str">
        <f>"0.439***"</f>
        <v>0.439***</v>
      </c>
      <c r="K22" s="4" t="str">
        <f>"-0.135"</f>
        <v>-0.135</v>
      </c>
      <c r="L22" s="4" t="str">
        <f>"0.722*"</f>
        <v>0.722*</v>
      </c>
      <c r="M22" s="4" t="str">
        <f>"0.037"</f>
        <v>0.037</v>
      </c>
      <c r="N22" s="4" t="str">
        <f>"0.809***"</f>
        <v>0.809***</v>
      </c>
      <c r="O22" s="4" t="str">
        <f>"-0.306"</f>
        <v>-0.306</v>
      </c>
      <c r="P22" s="4" t="str">
        <f>"0.078"</f>
        <v>0.078</v>
      </c>
      <c r="Q22" s="4" t="str">
        <f>"-0.139"</f>
        <v>-0.139</v>
      </c>
    </row>
    <row r="23" spans="1:17" x14ac:dyDescent="0.25">
      <c r="A23" s="4" t="str">
        <f>""</f>
        <v/>
      </c>
      <c r="B23" s="4" t="str">
        <f>"(0.107)"</f>
        <v>(0.107)</v>
      </c>
      <c r="C23" s="4" t="str">
        <f>"(0.103)"</f>
        <v>(0.103)</v>
      </c>
      <c r="D23" s="4" t="str">
        <f>"(0.289)"</f>
        <v>(0.289)</v>
      </c>
      <c r="E23" s="4" t="str">
        <f>"(0.340)"</f>
        <v>(0.340)</v>
      </c>
      <c r="F23" s="4" t="str">
        <f>"(0.238)"</f>
        <v>(0.238)</v>
      </c>
      <c r="G23" s="4" t="str">
        <f>"(0.212)"</f>
        <v>(0.212)</v>
      </c>
      <c r="H23" s="4" t="str">
        <f>"(0.138)"</f>
        <v>(0.138)</v>
      </c>
      <c r="I23" s="4" t="str">
        <f>"(0.141)"</f>
        <v>(0.141)</v>
      </c>
      <c r="J23" s="30" t="str">
        <f>"(0.102)"</f>
        <v>(0.102)</v>
      </c>
      <c r="K23" s="4" t="str">
        <f>"(0.098)"</f>
        <v>(0.098)</v>
      </c>
      <c r="L23" s="4" t="str">
        <f>"(0.326)"</f>
        <v>(0.326)</v>
      </c>
      <c r="M23" s="4" t="str">
        <f>"(0.313)"</f>
        <v>(0.313)</v>
      </c>
      <c r="N23" s="4" t="str">
        <f>"(0.237)"</f>
        <v>(0.237)</v>
      </c>
      <c r="O23" s="4" t="str">
        <f>"(0.208)"</f>
        <v>(0.208)</v>
      </c>
      <c r="P23" s="4" t="str">
        <f>"(0.137)"</f>
        <v>(0.137)</v>
      </c>
      <c r="Q23" s="4" t="str">
        <f>"(0.139)"</f>
        <v>(0.139)</v>
      </c>
    </row>
    <row r="24" spans="1:17" x14ac:dyDescent="0.25">
      <c r="A24" s="4" t="s">
        <v>113</v>
      </c>
      <c r="B24" s="4" t="str">
        <f>"0.193"</f>
        <v>0.193</v>
      </c>
      <c r="C24" s="4" t="str">
        <f>"-0.134"</f>
        <v>-0.134</v>
      </c>
      <c r="D24" s="4" t="str">
        <f>"0.737*"</f>
        <v>0.737*</v>
      </c>
      <c r="E24" s="4" t="str">
        <f>"-0.253"</f>
        <v>-0.253</v>
      </c>
      <c r="F24" s="4" t="str">
        <f>"0.466"</f>
        <v>0.466</v>
      </c>
      <c r="G24" s="4" t="str">
        <f>"-0.215"</f>
        <v>-0.215</v>
      </c>
      <c r="H24" s="4" t="str">
        <f>"-0.005"</f>
        <v>-0.005</v>
      </c>
      <c r="I24" s="4" t="str">
        <f>"-0.170"</f>
        <v>-0.170</v>
      </c>
      <c r="J24" s="30" t="str">
        <f>"0.278**"</f>
        <v>0.278**</v>
      </c>
      <c r="K24" s="4" t="str">
        <f>"-0.188"</f>
        <v>-0.188</v>
      </c>
      <c r="L24" s="4" t="str">
        <f>"0.921**"</f>
        <v>0.921**</v>
      </c>
      <c r="M24" s="4" t="str">
        <f>"-0.223"</f>
        <v>-0.223</v>
      </c>
      <c r="N24" s="4" t="str">
        <f>"0.478"</f>
        <v>0.478</v>
      </c>
      <c r="O24" s="4" t="str">
        <f>"-0.302"</f>
        <v>-0.302</v>
      </c>
      <c r="P24" s="4" t="str">
        <f>"0.012"</f>
        <v>0.012</v>
      </c>
      <c r="Q24" s="4" t="str">
        <f>"-0.183"</f>
        <v>-0.183</v>
      </c>
    </row>
    <row r="25" spans="1:17" x14ac:dyDescent="0.25">
      <c r="A25" s="4" t="str">
        <f>""</f>
        <v/>
      </c>
      <c r="B25" s="4" t="str">
        <f>"(0.112)"</f>
        <v>(0.112)</v>
      </c>
      <c r="C25" s="4" t="str">
        <f>"(0.108)"</f>
        <v>(0.108)</v>
      </c>
      <c r="D25" s="4" t="str">
        <f>"(0.297)"</f>
        <v>(0.297)</v>
      </c>
      <c r="E25" s="4" t="str">
        <f>"(0.349)"</f>
        <v>(0.349)</v>
      </c>
      <c r="F25" s="4" t="str">
        <f>"(0.275)"</f>
        <v>(0.275)</v>
      </c>
      <c r="G25" s="4" t="str">
        <f>"(0.245)"</f>
        <v>(0.245)</v>
      </c>
      <c r="H25" s="4" t="str">
        <f>"(0.141)"</f>
        <v>(0.141)</v>
      </c>
      <c r="I25" s="4" t="str">
        <f>"(0.144)"</f>
        <v>(0.144)</v>
      </c>
      <c r="J25" s="30" t="str">
        <f>"(0.107)"</f>
        <v>(0.107)</v>
      </c>
      <c r="K25" s="4" t="str">
        <f>"(0.103)"</f>
        <v>(0.103)</v>
      </c>
      <c r="L25" s="4" t="str">
        <f>"(0.349)"</f>
        <v>(0.349)</v>
      </c>
      <c r="M25" s="4" t="str">
        <f>"(0.334)"</f>
        <v>(0.334)</v>
      </c>
      <c r="N25" s="4" t="str">
        <f>"(0.274)"</f>
        <v>(0.274)</v>
      </c>
      <c r="O25" s="4" t="str">
        <f>"(0.242)"</f>
        <v>(0.242)</v>
      </c>
      <c r="P25" s="4" t="str">
        <f>"(0.140)"</f>
        <v>(0.140)</v>
      </c>
      <c r="Q25" s="4" t="str">
        <f>"(0.141)"</f>
        <v>(0.141)</v>
      </c>
    </row>
    <row r="26" spans="1:17" x14ac:dyDescent="0.25">
      <c r="A26" s="4" t="s">
        <v>114</v>
      </c>
      <c r="B26" s="4" t="str">
        <f>"0.413***"</f>
        <v>0.413***</v>
      </c>
      <c r="C26" s="4" t="str">
        <f>"0.038"</f>
        <v>0.038</v>
      </c>
      <c r="D26" s="4" t="str">
        <f>"0.369"</f>
        <v>0.369</v>
      </c>
      <c r="E26" s="4" t="str">
        <f>"-0.023"</f>
        <v>-0.023</v>
      </c>
      <c r="F26" s="4" t="str">
        <f>"0.819**"</f>
        <v>0.819**</v>
      </c>
      <c r="G26" s="4" t="str">
        <f>"0.305"</f>
        <v>0.305</v>
      </c>
      <c r="H26" s="4" t="str">
        <f>"0.078"</f>
        <v>0.078</v>
      </c>
      <c r="I26" s="4" t="str">
        <f>"0.001"</f>
        <v>0.001</v>
      </c>
      <c r="J26" s="30" t="str">
        <f>"0.407***"</f>
        <v>0.407***</v>
      </c>
      <c r="K26" s="4" t="str">
        <f>"-0.062"</f>
        <v>-0.062</v>
      </c>
      <c r="L26" s="4" t="str">
        <f>"0.492"</f>
        <v>0.492</v>
      </c>
      <c r="M26" s="4" t="str">
        <f>"-0.161"</f>
        <v>-0.161</v>
      </c>
      <c r="N26" s="4" t="str">
        <f>"0.799**"</f>
        <v>0.799**</v>
      </c>
      <c r="O26" s="4" t="str">
        <f>"0.146"</f>
        <v>0.146</v>
      </c>
      <c r="P26" s="4" t="str">
        <f>"0.084"</f>
        <v>0.084</v>
      </c>
      <c r="Q26" s="4" t="str">
        <f>"0.007"</f>
        <v>0.007</v>
      </c>
    </row>
    <row r="27" spans="1:17" x14ac:dyDescent="0.25">
      <c r="A27" s="4" t="str">
        <f>""</f>
        <v/>
      </c>
      <c r="B27" s="4" t="str">
        <f>"(0.113)"</f>
        <v>(0.113)</v>
      </c>
      <c r="C27" s="4" t="str">
        <f>"(0.109)"</f>
        <v>(0.109)</v>
      </c>
      <c r="D27" s="4" t="str">
        <f>"(0.311)"</f>
        <v>(0.311)</v>
      </c>
      <c r="E27" s="4" t="str">
        <f>"(0.365)"</f>
        <v>(0.365)</v>
      </c>
      <c r="F27" s="4" t="str">
        <f>"(0.303)"</f>
        <v>(0.303)</v>
      </c>
      <c r="G27" s="4" t="str">
        <f>"(0.270)"</f>
        <v>(0.270)</v>
      </c>
      <c r="H27" s="4" t="str">
        <f>"(0.143)"</f>
        <v>(0.143)</v>
      </c>
      <c r="I27" s="4" t="str">
        <f>"(0.146)"</f>
        <v>(0.146)</v>
      </c>
      <c r="J27" s="30" t="str">
        <f>"(0.108)"</f>
        <v>(0.108)</v>
      </c>
      <c r="K27" s="4" t="str">
        <f>"(0.104)"</f>
        <v>(0.104)</v>
      </c>
      <c r="L27" s="4" t="str">
        <f>"(0.355)"</f>
        <v>(0.355)</v>
      </c>
      <c r="M27" s="4" t="str">
        <f>"(0.340)"</f>
        <v>(0.340)</v>
      </c>
      <c r="N27" s="4" t="str">
        <f>"(0.301)"</f>
        <v>(0.301)</v>
      </c>
      <c r="O27" s="4" t="str">
        <f>"(0.267)"</f>
        <v>(0.267)</v>
      </c>
      <c r="P27" s="4" t="str">
        <f>"(0.142)"</f>
        <v>(0.142)</v>
      </c>
      <c r="Q27" s="4" t="str">
        <f>"(0.143)"</f>
        <v>(0.143)</v>
      </c>
    </row>
    <row r="28" spans="1:17" x14ac:dyDescent="0.25">
      <c r="A28" s="4" t="str">
        <f>"Constant"</f>
        <v>Constant</v>
      </c>
      <c r="B28" s="4" t="str">
        <f>"-0.462***"</f>
        <v>-0.462***</v>
      </c>
      <c r="C28" s="4" t="str">
        <f>"-0.077"</f>
        <v>-0.077</v>
      </c>
      <c r="D28" s="4" t="str">
        <f>"-0.725**"</f>
        <v>-0.725**</v>
      </c>
      <c r="E28" s="4" t="str">
        <f>"0.094"</f>
        <v>0.094</v>
      </c>
      <c r="F28" s="4" t="str">
        <f>"-0.793***"</f>
        <v>-0.793***</v>
      </c>
      <c r="G28" s="4" t="str">
        <f>"-0.296"</f>
        <v>-0.296</v>
      </c>
      <c r="H28" s="4" t="str">
        <f>"-0.246"</f>
        <v>-0.246</v>
      </c>
      <c r="I28" s="4" t="str">
        <f>"0.084"</f>
        <v>0.084</v>
      </c>
      <c r="J28" s="30" t="str">
        <f>"-0.505***"</f>
        <v>-0.505***</v>
      </c>
      <c r="K28" s="4" t="str">
        <f>"-0.024"</f>
        <v>-0.024</v>
      </c>
      <c r="L28" s="4" t="str">
        <f>"-0.854**"</f>
        <v>-0.854**</v>
      </c>
      <c r="M28" s="4" t="str">
        <f>"0.250"</f>
        <v>0.250</v>
      </c>
      <c r="N28" s="4" t="str">
        <f>"-0.772***"</f>
        <v>-0.772***</v>
      </c>
      <c r="O28" s="4" t="str">
        <f>"-0.170"</f>
        <v>-0.170</v>
      </c>
      <c r="P28" s="4" t="str">
        <f>"-0.253*"</f>
        <v>-0.253*</v>
      </c>
      <c r="Q28" s="4" t="str">
        <f>"0.077"</f>
        <v>0.077</v>
      </c>
    </row>
    <row r="29" spans="1:17" x14ac:dyDescent="0.25">
      <c r="A29" s="4" t="str">
        <f>""</f>
        <v/>
      </c>
      <c r="B29" s="4" t="str">
        <f>"(0.099)"</f>
        <v>(0.099)</v>
      </c>
      <c r="C29" s="4" t="str">
        <f>"(0.096)"</f>
        <v>(0.096)</v>
      </c>
      <c r="D29" s="4" t="str">
        <f>"(0.276)"</f>
        <v>(0.276)</v>
      </c>
      <c r="E29" s="4" t="str">
        <f>"(0.325)"</f>
        <v>(0.325)</v>
      </c>
      <c r="F29" s="4" t="str">
        <f>"(0.227)"</f>
        <v>(0.227)</v>
      </c>
      <c r="G29" s="4" t="str">
        <f>"(0.201)"</f>
        <v>(0.201)</v>
      </c>
      <c r="H29" s="4" t="str">
        <f>"(0.129)"</f>
        <v>(0.129)</v>
      </c>
      <c r="I29" s="4" t="str">
        <f>"(0.132)"</f>
        <v>(0.132)</v>
      </c>
      <c r="J29" s="30" t="str">
        <f>"(0.095)"</f>
        <v>(0.095)</v>
      </c>
      <c r="K29" s="4" t="str">
        <f>"(0.091)"</f>
        <v>(0.091)</v>
      </c>
      <c r="L29" s="4" t="str">
        <f>"(0.312)"</f>
        <v>(0.312)</v>
      </c>
      <c r="M29" s="4" t="str">
        <f>"(0.298)"</f>
        <v>(0.298)</v>
      </c>
      <c r="N29" s="4" t="str">
        <f>"(0.225)"</f>
        <v>(0.225)</v>
      </c>
      <c r="O29" s="4" t="str">
        <f>"(0.199)"</f>
        <v>(0.199)</v>
      </c>
      <c r="P29" s="4" t="str">
        <f>"(0.128)"</f>
        <v>(0.128)</v>
      </c>
      <c r="Q29" s="4" t="str">
        <f>"(0.129)"</f>
        <v>(0.129)</v>
      </c>
    </row>
    <row r="30" spans="1:17" x14ac:dyDescent="0.25">
      <c r="A30" s="4" t="str">
        <f>"Adj r-squared"</f>
        <v>Adj r-squared</v>
      </c>
      <c r="B30" s="4" t="str">
        <f>"0.347"</f>
        <v>0.347</v>
      </c>
      <c r="C30" s="4" t="str">
        <f>"0.332"</f>
        <v>0.332</v>
      </c>
      <c r="D30" s="4" t="str">
        <f>"0.397"</f>
        <v>0.397</v>
      </c>
      <c r="E30" s="4" t="str">
        <f>"0.212"</f>
        <v>0.212</v>
      </c>
      <c r="F30" s="4" t="str">
        <f>"0.361"</f>
        <v>0.361</v>
      </c>
      <c r="G30" s="4" t="str">
        <f>"0.407"</f>
        <v>0.407</v>
      </c>
      <c r="H30" s="4" t="str">
        <f>"0.384"</f>
        <v>0.384</v>
      </c>
      <c r="I30" s="4" t="str">
        <f>"0.328"</f>
        <v>0.328</v>
      </c>
      <c r="J30" s="30" t="str">
        <f>"0.363"</f>
        <v>0.363</v>
      </c>
      <c r="K30" s="4" t="str">
        <f>"0.352"</f>
        <v>0.352</v>
      </c>
      <c r="L30" s="4" t="str">
        <f>"0.456"</f>
        <v>0.456</v>
      </c>
      <c r="M30" s="4" t="str">
        <f>"0.431"</f>
        <v>0.431</v>
      </c>
      <c r="N30" s="4" t="str">
        <f>"0.365"</f>
        <v>0.365</v>
      </c>
      <c r="O30" s="4" t="str">
        <f>"0.419"</f>
        <v>0.419</v>
      </c>
      <c r="P30" s="4" t="str">
        <f>"0.395"</f>
        <v>0.395</v>
      </c>
      <c r="Q30" s="4" t="str">
        <f>"0.382"</f>
        <v>0.382</v>
      </c>
    </row>
    <row r="31" spans="1:17" s="9" customFormat="1" x14ac:dyDescent="0.25">
      <c r="A31" s="9" t="s">
        <v>141</v>
      </c>
      <c r="B31" s="9">
        <v>1405</v>
      </c>
      <c r="C31" s="9">
        <v>1405</v>
      </c>
      <c r="D31" s="9">
        <v>234</v>
      </c>
      <c r="E31" s="9">
        <v>235</v>
      </c>
      <c r="F31" s="9">
        <v>199</v>
      </c>
      <c r="G31" s="9">
        <v>199</v>
      </c>
      <c r="H31" s="9">
        <v>1055</v>
      </c>
      <c r="I31" s="9">
        <v>1055</v>
      </c>
      <c r="J31" s="28">
        <v>1560</v>
      </c>
      <c r="K31" s="9">
        <v>1560</v>
      </c>
      <c r="L31" s="9">
        <v>155</v>
      </c>
      <c r="M31" s="9">
        <v>155</v>
      </c>
      <c r="N31" s="9">
        <v>199</v>
      </c>
      <c r="O31" s="9">
        <v>199</v>
      </c>
      <c r="P31" s="9">
        <v>1055</v>
      </c>
      <c r="Q31" s="9">
        <v>1055</v>
      </c>
    </row>
    <row r="32" spans="1:17" x14ac:dyDescent="0.25">
      <c r="A32" s="29" t="s">
        <v>142</v>
      </c>
      <c r="B32" s="29"/>
      <c r="C32" s="29"/>
      <c r="D32" s="29"/>
      <c r="E32" s="29"/>
      <c r="F32" s="29"/>
      <c r="G32" s="29"/>
      <c r="H32" s="29"/>
      <c r="I32" s="29"/>
      <c r="J32" s="29"/>
      <c r="K32" s="29"/>
      <c r="L32" s="29"/>
      <c r="M32" s="29"/>
      <c r="N32" s="29"/>
      <c r="O32" s="29"/>
      <c r="P32" s="29"/>
      <c r="Q32" s="29"/>
    </row>
    <row r="33" spans="1:1" x14ac:dyDescent="0.25">
      <c r="A33" s="4" t="str">
        <f>""</f>
        <v/>
      </c>
    </row>
  </sheetData>
  <mergeCells count="4">
    <mergeCell ref="J3:Q3"/>
    <mergeCell ref="B3:I3"/>
    <mergeCell ref="A1:Q1"/>
    <mergeCell ref="A32:Q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B27E-FAE5-4502-B2E4-B46745B4FC76}">
  <dimension ref="A1:F69"/>
  <sheetViews>
    <sheetView workbookViewId="0">
      <selection activeCell="D14" sqref="D14"/>
    </sheetView>
  </sheetViews>
  <sheetFormatPr defaultRowHeight="15" x14ac:dyDescent="0.25"/>
  <cols>
    <col min="1" max="1" width="24.140625" style="12" bestFit="1" customWidth="1"/>
    <col min="2" max="6" width="9.140625" style="12"/>
    <col min="7" max="16384" width="9.140625" style="1"/>
  </cols>
  <sheetData>
    <row r="1" spans="1:6" ht="71.25" customHeight="1" x14ac:dyDescent="0.25">
      <c r="A1" s="16" t="s">
        <v>135</v>
      </c>
      <c r="B1" s="17"/>
      <c r="C1" s="17"/>
      <c r="D1" s="17"/>
      <c r="E1" s="17"/>
      <c r="F1" s="17"/>
    </row>
    <row r="2" spans="1:6" x14ac:dyDescent="0.25">
      <c r="A2" s="11"/>
      <c r="B2" s="11">
        <v>1</v>
      </c>
      <c r="C2" s="11">
        <v>2</v>
      </c>
      <c r="D2" s="11">
        <v>3</v>
      </c>
      <c r="E2" s="11">
        <v>4</v>
      </c>
      <c r="F2" s="11">
        <v>5</v>
      </c>
    </row>
    <row r="3" spans="1:6" x14ac:dyDescent="0.25">
      <c r="B3" s="14" t="s">
        <v>133</v>
      </c>
    </row>
    <row r="4" spans="1:6" x14ac:dyDescent="0.25">
      <c r="A4" s="12" t="s">
        <v>127</v>
      </c>
      <c r="B4" s="12">
        <v>1</v>
      </c>
    </row>
    <row r="5" spans="1:6" x14ac:dyDescent="0.25">
      <c r="B5" s="12">
        <v>1580</v>
      </c>
    </row>
    <row r="6" spans="1:6" x14ac:dyDescent="0.25">
      <c r="A6" s="12" t="s">
        <v>128</v>
      </c>
      <c r="B6" s="12">
        <v>0.1847</v>
      </c>
      <c r="C6" s="12">
        <v>1</v>
      </c>
    </row>
    <row r="7" spans="1:6" x14ac:dyDescent="0.25">
      <c r="B7" s="12">
        <v>1580</v>
      </c>
      <c r="C7" s="12">
        <v>1580</v>
      </c>
    </row>
    <row r="8" spans="1:6" x14ac:dyDescent="0.25">
      <c r="A8" s="12" t="s">
        <v>129</v>
      </c>
      <c r="B8" s="12">
        <v>0.2999</v>
      </c>
      <c r="C8" s="12">
        <v>0.28539999999999999</v>
      </c>
      <c r="D8" s="12">
        <v>1</v>
      </c>
    </row>
    <row r="9" spans="1:6" x14ac:dyDescent="0.25">
      <c r="B9" s="12">
        <v>1580</v>
      </c>
      <c r="C9" s="12">
        <v>1580</v>
      </c>
      <c r="D9" s="12">
        <v>1580</v>
      </c>
    </row>
    <row r="10" spans="1:6" x14ac:dyDescent="0.25">
      <c r="A10" s="12" t="s">
        <v>130</v>
      </c>
      <c r="B10" s="12">
        <v>0.39789999999999998</v>
      </c>
      <c r="C10" s="12">
        <v>7.0400000000000004E-2</v>
      </c>
      <c r="D10" s="12">
        <v>9.0300000000000005E-2</v>
      </c>
      <c r="E10" s="12">
        <v>1</v>
      </c>
    </row>
    <row r="11" spans="1:6" x14ac:dyDescent="0.25">
      <c r="B11" s="12">
        <v>1565</v>
      </c>
      <c r="C11" s="12">
        <v>1565</v>
      </c>
      <c r="D11" s="12">
        <v>1565</v>
      </c>
      <c r="E11" s="12">
        <v>1565</v>
      </c>
    </row>
    <row r="12" spans="1:6" x14ac:dyDescent="0.25">
      <c r="A12" s="12" t="s">
        <v>131</v>
      </c>
      <c r="B12" s="12">
        <v>0.50719999999999998</v>
      </c>
      <c r="C12" s="12">
        <v>0.50060000000000004</v>
      </c>
      <c r="D12" s="12">
        <v>0.376</v>
      </c>
      <c r="E12" s="12">
        <v>0.29289999999999999</v>
      </c>
      <c r="F12" s="12">
        <v>1</v>
      </c>
    </row>
    <row r="13" spans="1:6" x14ac:dyDescent="0.25">
      <c r="B13" s="12">
        <v>1580</v>
      </c>
      <c r="C13" s="12">
        <v>1580</v>
      </c>
      <c r="D13" s="12">
        <v>1580</v>
      </c>
      <c r="E13" s="12">
        <v>1565</v>
      </c>
      <c r="F13" s="12">
        <v>1580</v>
      </c>
    </row>
    <row r="14" spans="1:6" x14ac:dyDescent="0.25">
      <c r="B14" s="14" t="s">
        <v>134</v>
      </c>
    </row>
    <row r="15" spans="1:6" x14ac:dyDescent="0.25">
      <c r="A15" s="12" t="s">
        <v>127</v>
      </c>
      <c r="B15" s="12">
        <v>1</v>
      </c>
    </row>
    <row r="16" spans="1:6" x14ac:dyDescent="0.25">
      <c r="B16" s="12">
        <v>2932</v>
      </c>
    </row>
    <row r="17" spans="1:6" x14ac:dyDescent="0.25">
      <c r="A17" s="12" t="s">
        <v>128</v>
      </c>
      <c r="B17" s="12">
        <v>0.18809999999999999</v>
      </c>
      <c r="C17" s="12">
        <v>1</v>
      </c>
    </row>
    <row r="18" spans="1:6" x14ac:dyDescent="0.25">
      <c r="B18" s="12">
        <v>2931</v>
      </c>
      <c r="C18" s="12">
        <v>2955</v>
      </c>
    </row>
    <row r="19" spans="1:6" x14ac:dyDescent="0.25">
      <c r="A19" s="12" t="s">
        <v>129</v>
      </c>
      <c r="B19" s="12">
        <v>0.28070000000000001</v>
      </c>
      <c r="C19" s="12">
        <v>0.29499999999999998</v>
      </c>
      <c r="D19" s="12">
        <v>1</v>
      </c>
    </row>
    <row r="20" spans="1:6" x14ac:dyDescent="0.25">
      <c r="B20" s="12">
        <v>2930</v>
      </c>
      <c r="C20" s="12">
        <v>2954</v>
      </c>
      <c r="D20" s="12">
        <v>2954</v>
      </c>
    </row>
    <row r="21" spans="1:6" x14ac:dyDescent="0.25">
      <c r="A21" s="12" t="s">
        <v>130</v>
      </c>
      <c r="B21" s="12">
        <v>0.38030000000000003</v>
      </c>
      <c r="C21" s="12">
        <v>4.2700000000000002E-2</v>
      </c>
      <c r="D21" s="12">
        <v>6.9800000000000001E-2</v>
      </c>
      <c r="E21" s="12">
        <v>1</v>
      </c>
    </row>
    <row r="22" spans="1:6" x14ac:dyDescent="0.25">
      <c r="B22" s="12">
        <v>1565</v>
      </c>
      <c r="C22" s="12">
        <v>1565</v>
      </c>
      <c r="D22" s="12">
        <v>1565</v>
      </c>
      <c r="E22" s="12">
        <v>1565</v>
      </c>
    </row>
    <row r="23" spans="1:6" x14ac:dyDescent="0.25">
      <c r="A23" s="12" t="s">
        <v>131</v>
      </c>
      <c r="B23" s="12">
        <v>0.47589999999999999</v>
      </c>
      <c r="C23" s="12">
        <v>0.49830000000000002</v>
      </c>
      <c r="D23" s="12">
        <v>0.34050000000000002</v>
      </c>
      <c r="E23" s="12">
        <v>0.2203</v>
      </c>
      <c r="F23" s="12">
        <v>1</v>
      </c>
    </row>
    <row r="24" spans="1:6" x14ac:dyDescent="0.25">
      <c r="B24" s="12">
        <v>2932</v>
      </c>
      <c r="C24" s="12">
        <v>2955</v>
      </c>
      <c r="D24" s="12">
        <v>2954</v>
      </c>
      <c r="E24" s="12">
        <v>1565</v>
      </c>
      <c r="F24" s="12">
        <v>2956</v>
      </c>
    </row>
    <row r="25" spans="1:6" x14ac:dyDescent="0.25">
      <c r="B25" s="14" t="s">
        <v>123</v>
      </c>
    </row>
    <row r="26" spans="1:6" x14ac:dyDescent="0.25">
      <c r="A26" s="12" t="s">
        <v>127</v>
      </c>
      <c r="B26" s="12">
        <v>1</v>
      </c>
    </row>
    <row r="27" spans="1:6" x14ac:dyDescent="0.25">
      <c r="B27" s="12">
        <v>2443</v>
      </c>
    </row>
    <row r="28" spans="1:6" x14ac:dyDescent="0.25">
      <c r="A28" s="12" t="s">
        <v>128</v>
      </c>
      <c r="B28" s="12">
        <v>0.17080000000000001</v>
      </c>
      <c r="C28" s="12">
        <v>1</v>
      </c>
    </row>
    <row r="29" spans="1:6" x14ac:dyDescent="0.25">
      <c r="B29" s="12">
        <v>2443</v>
      </c>
      <c r="C29" s="12">
        <v>2461</v>
      </c>
    </row>
    <row r="30" spans="1:6" x14ac:dyDescent="0.25">
      <c r="A30" s="12" t="s">
        <v>129</v>
      </c>
      <c r="B30" s="12">
        <v>0.28720000000000001</v>
      </c>
      <c r="C30" s="12">
        <v>0.29759999999999998</v>
      </c>
      <c r="D30" s="12">
        <v>1</v>
      </c>
    </row>
    <row r="31" spans="1:6" x14ac:dyDescent="0.25">
      <c r="B31" s="12">
        <v>2442</v>
      </c>
      <c r="C31" s="12">
        <v>2460</v>
      </c>
      <c r="D31" s="12">
        <v>2460</v>
      </c>
    </row>
    <row r="32" spans="1:6" x14ac:dyDescent="0.25">
      <c r="A32" s="12" t="s">
        <v>130</v>
      </c>
      <c r="B32" s="12">
        <v>0.36409999999999998</v>
      </c>
      <c r="C32" s="12">
        <v>6.7000000000000002E-3</v>
      </c>
      <c r="D32" s="12">
        <v>9.4600000000000004E-2</v>
      </c>
      <c r="E32" s="12">
        <v>1</v>
      </c>
    </row>
    <row r="33" spans="1:6" x14ac:dyDescent="0.25">
      <c r="B33" s="12">
        <v>1368</v>
      </c>
      <c r="C33" s="12">
        <v>1368</v>
      </c>
      <c r="D33" s="12">
        <v>1368</v>
      </c>
      <c r="E33" s="12">
        <v>1368</v>
      </c>
    </row>
    <row r="34" spans="1:6" x14ac:dyDescent="0.25">
      <c r="A34" s="12" t="s">
        <v>131</v>
      </c>
      <c r="B34" s="12">
        <v>0.4642</v>
      </c>
      <c r="C34" s="12">
        <v>0.4703</v>
      </c>
      <c r="D34" s="12">
        <v>0.3725</v>
      </c>
      <c r="E34" s="12">
        <v>0.19889999999999999</v>
      </c>
      <c r="F34" s="12">
        <v>1</v>
      </c>
    </row>
    <row r="35" spans="1:6" x14ac:dyDescent="0.25">
      <c r="B35" s="12">
        <v>2443</v>
      </c>
      <c r="C35" s="12">
        <v>2461</v>
      </c>
      <c r="D35" s="12">
        <v>2460</v>
      </c>
      <c r="E35" s="12">
        <v>1368</v>
      </c>
      <c r="F35" s="12">
        <v>2461</v>
      </c>
    </row>
    <row r="36" spans="1:6" x14ac:dyDescent="0.25">
      <c r="B36" s="14" t="s">
        <v>124</v>
      </c>
    </row>
    <row r="37" spans="1:6" x14ac:dyDescent="0.25">
      <c r="A37" s="12" t="s">
        <v>127</v>
      </c>
      <c r="B37" s="12">
        <v>1</v>
      </c>
    </row>
    <row r="38" spans="1:6" x14ac:dyDescent="0.25">
      <c r="B38" s="12">
        <v>489</v>
      </c>
    </row>
    <row r="39" spans="1:6" x14ac:dyDescent="0.25">
      <c r="A39" s="12" t="s">
        <v>128</v>
      </c>
      <c r="B39" s="12">
        <v>0.2243</v>
      </c>
      <c r="C39" s="12">
        <v>1</v>
      </c>
    </row>
    <row r="40" spans="1:6" x14ac:dyDescent="0.25">
      <c r="B40" s="12">
        <v>488</v>
      </c>
      <c r="C40" s="12">
        <v>494</v>
      </c>
    </row>
    <row r="41" spans="1:6" x14ac:dyDescent="0.25">
      <c r="A41" s="12" t="s">
        <v>129</v>
      </c>
      <c r="B41" s="12">
        <v>0.2485</v>
      </c>
      <c r="C41" s="12">
        <v>0.30919999999999997</v>
      </c>
      <c r="D41" s="12">
        <v>1</v>
      </c>
    </row>
    <row r="42" spans="1:6" x14ac:dyDescent="0.25">
      <c r="B42" s="12">
        <v>488</v>
      </c>
      <c r="C42" s="12">
        <v>494</v>
      </c>
      <c r="D42" s="12">
        <v>494</v>
      </c>
    </row>
    <row r="43" spans="1:6" x14ac:dyDescent="0.25">
      <c r="A43" s="12" t="s">
        <v>130</v>
      </c>
      <c r="B43" s="12">
        <v>0.49330000000000002</v>
      </c>
      <c r="C43" s="12">
        <v>8.9800000000000005E-2</v>
      </c>
      <c r="D43" s="12">
        <v>-1.54E-2</v>
      </c>
      <c r="E43" s="12">
        <v>1</v>
      </c>
    </row>
    <row r="44" spans="1:6" x14ac:dyDescent="0.25">
      <c r="B44" s="12">
        <v>197</v>
      </c>
      <c r="C44" s="12">
        <v>197</v>
      </c>
      <c r="D44" s="12">
        <v>197</v>
      </c>
      <c r="E44" s="12">
        <v>197</v>
      </c>
    </row>
    <row r="45" spans="1:6" x14ac:dyDescent="0.25">
      <c r="A45" s="12" t="s">
        <v>131</v>
      </c>
      <c r="B45" s="12">
        <v>0.51070000000000004</v>
      </c>
      <c r="C45" s="12">
        <v>0.55289999999999995</v>
      </c>
      <c r="D45" s="12">
        <v>0.2205</v>
      </c>
      <c r="E45" s="12">
        <v>0.28889999999999999</v>
      </c>
      <c r="F45" s="12">
        <v>1</v>
      </c>
    </row>
    <row r="46" spans="1:6" x14ac:dyDescent="0.25">
      <c r="B46" s="12">
        <v>489</v>
      </c>
      <c r="C46" s="12">
        <v>494</v>
      </c>
      <c r="D46" s="12">
        <v>494</v>
      </c>
      <c r="E46" s="12">
        <v>197</v>
      </c>
      <c r="F46" s="12">
        <v>495</v>
      </c>
    </row>
    <row r="47" spans="1:6" x14ac:dyDescent="0.25">
      <c r="B47" s="14" t="s">
        <v>125</v>
      </c>
    </row>
    <row r="48" spans="1:6" x14ac:dyDescent="0.25">
      <c r="A48" s="12" t="s">
        <v>127</v>
      </c>
      <c r="B48" s="12">
        <v>1</v>
      </c>
    </row>
    <row r="49" spans="1:6" x14ac:dyDescent="0.25">
      <c r="B49" s="12">
        <v>310</v>
      </c>
    </row>
    <row r="50" spans="1:6" x14ac:dyDescent="0.25">
      <c r="A50" s="12" t="s">
        <v>128</v>
      </c>
      <c r="B50" s="12">
        <v>0.21099999999999999</v>
      </c>
      <c r="C50" s="12">
        <v>1</v>
      </c>
    </row>
    <row r="51" spans="1:6" x14ac:dyDescent="0.25">
      <c r="B51" s="12">
        <v>309</v>
      </c>
      <c r="C51" s="12">
        <v>314</v>
      </c>
    </row>
    <row r="52" spans="1:6" x14ac:dyDescent="0.25">
      <c r="A52" s="12" t="s">
        <v>129</v>
      </c>
      <c r="B52" s="12">
        <v>0.29389999999999999</v>
      </c>
      <c r="C52" s="12">
        <v>0.30399999999999999</v>
      </c>
      <c r="D52" s="12">
        <v>1</v>
      </c>
    </row>
    <row r="53" spans="1:6" x14ac:dyDescent="0.25">
      <c r="B53" s="12">
        <v>309</v>
      </c>
      <c r="C53" s="12">
        <v>314</v>
      </c>
      <c r="D53" s="12">
        <v>314</v>
      </c>
    </row>
    <row r="54" spans="1:6" x14ac:dyDescent="0.25">
      <c r="A54" s="12" t="s">
        <v>130</v>
      </c>
      <c r="B54" s="12">
        <v>0.4042</v>
      </c>
      <c r="C54" s="12">
        <v>7.5899999999999995E-2</v>
      </c>
      <c r="D54" s="12">
        <v>0.18329999999999999</v>
      </c>
      <c r="E54" s="12">
        <v>1</v>
      </c>
    </row>
    <row r="55" spans="1:6" x14ac:dyDescent="0.25">
      <c r="B55" s="12">
        <v>119</v>
      </c>
      <c r="C55" s="12">
        <v>119</v>
      </c>
      <c r="D55" s="12">
        <v>119</v>
      </c>
      <c r="E55" s="12">
        <v>119</v>
      </c>
    </row>
    <row r="56" spans="1:6" x14ac:dyDescent="0.25">
      <c r="A56" s="12" t="s">
        <v>131</v>
      </c>
      <c r="B56" s="12">
        <v>0.49509999999999998</v>
      </c>
      <c r="C56" s="12">
        <v>0.5131</v>
      </c>
      <c r="D56" s="12">
        <v>0.14330000000000001</v>
      </c>
      <c r="E56" s="12">
        <v>0.2848</v>
      </c>
      <c r="F56" s="12">
        <v>1</v>
      </c>
    </row>
    <row r="57" spans="1:6" x14ac:dyDescent="0.25">
      <c r="B57" s="12">
        <v>310</v>
      </c>
      <c r="C57" s="12">
        <v>314</v>
      </c>
      <c r="D57" s="12">
        <v>314</v>
      </c>
      <c r="E57" s="12">
        <v>119</v>
      </c>
      <c r="F57" s="12">
        <v>315</v>
      </c>
    </row>
    <row r="58" spans="1:6" x14ac:dyDescent="0.25">
      <c r="B58" s="14" t="s">
        <v>126</v>
      </c>
    </row>
    <row r="59" spans="1:6" x14ac:dyDescent="0.25">
      <c r="A59" s="12" t="s">
        <v>127</v>
      </c>
      <c r="B59" s="12">
        <v>1</v>
      </c>
    </row>
    <row r="60" spans="1:6" x14ac:dyDescent="0.25">
      <c r="B60" s="12">
        <v>121</v>
      </c>
    </row>
    <row r="61" spans="1:6" x14ac:dyDescent="0.25">
      <c r="A61" s="12" t="s">
        <v>128</v>
      </c>
      <c r="B61" s="12">
        <v>0.1822</v>
      </c>
      <c r="C61" s="12">
        <v>1</v>
      </c>
    </row>
    <row r="62" spans="1:6" x14ac:dyDescent="0.25">
      <c r="B62" s="12">
        <v>121</v>
      </c>
      <c r="C62" s="12">
        <v>121</v>
      </c>
    </row>
    <row r="63" spans="1:6" x14ac:dyDescent="0.25">
      <c r="A63" s="12" t="s">
        <v>129</v>
      </c>
      <c r="B63" s="12">
        <v>0.52490000000000003</v>
      </c>
      <c r="C63" s="12">
        <v>0.33350000000000002</v>
      </c>
      <c r="D63" s="12">
        <v>1</v>
      </c>
    </row>
    <row r="64" spans="1:6" x14ac:dyDescent="0.25">
      <c r="B64" s="12">
        <v>121</v>
      </c>
      <c r="C64" s="12">
        <v>121</v>
      </c>
      <c r="D64" s="12">
        <v>121</v>
      </c>
    </row>
    <row r="65" spans="1:6" x14ac:dyDescent="0.25">
      <c r="A65" s="12" t="s">
        <v>130</v>
      </c>
      <c r="B65" s="12">
        <v>0.43809999999999999</v>
      </c>
      <c r="C65" s="12">
        <v>8.1500000000000003E-2</v>
      </c>
      <c r="D65" s="12">
        <v>0.18790000000000001</v>
      </c>
      <c r="E65" s="12">
        <v>1</v>
      </c>
    </row>
    <row r="66" spans="1:6" x14ac:dyDescent="0.25">
      <c r="B66" s="12">
        <v>119</v>
      </c>
      <c r="C66" s="12">
        <v>119</v>
      </c>
      <c r="D66" s="12">
        <v>119</v>
      </c>
      <c r="E66" s="12">
        <v>119</v>
      </c>
    </row>
    <row r="67" spans="1:6" x14ac:dyDescent="0.25">
      <c r="A67" s="12" t="s">
        <v>131</v>
      </c>
      <c r="B67" s="12">
        <v>0.50039999999999996</v>
      </c>
      <c r="C67" s="12">
        <v>0.57809999999999995</v>
      </c>
      <c r="D67" s="12">
        <v>0.48980000000000001</v>
      </c>
      <c r="E67" s="12">
        <v>0.28699999999999998</v>
      </c>
      <c r="F67" s="12">
        <v>1</v>
      </c>
    </row>
    <row r="68" spans="1:6" x14ac:dyDescent="0.25">
      <c r="A68" s="13"/>
      <c r="B68" s="13">
        <v>121</v>
      </c>
      <c r="C68" s="13">
        <v>121</v>
      </c>
      <c r="D68" s="13">
        <v>121</v>
      </c>
      <c r="E68" s="13">
        <v>119</v>
      </c>
      <c r="F68" s="13">
        <v>121</v>
      </c>
    </row>
    <row r="69" spans="1:6" x14ac:dyDescent="0.25">
      <c r="A69" s="12" t="s">
        <v>132</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A1F01-C234-4515-8D0F-4A61ADEA44BC}">
  <dimension ref="A1:BA71"/>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9.140625" defaultRowHeight="15" x14ac:dyDescent="0.25"/>
  <cols>
    <col min="1" max="1" width="49.85546875" style="1" bestFit="1" customWidth="1"/>
    <col min="2" max="16384" width="9.140625" style="1"/>
  </cols>
  <sheetData>
    <row r="1" spans="1:53" s="19" customFormat="1" x14ac:dyDescent="0.25">
      <c r="A1" s="18" t="s">
        <v>136</v>
      </c>
      <c r="B1" s="18"/>
    </row>
    <row r="2" spans="1:53" x14ac:dyDescent="0.25">
      <c r="A2" s="1" t="str">
        <f>""</f>
        <v/>
      </c>
      <c r="B2" s="1" t="str">
        <f>"(1)"</f>
        <v>(1)</v>
      </c>
      <c r="C2" s="1" t="str">
        <f>"(2)"</f>
        <v>(2)</v>
      </c>
      <c r="D2" s="1" t="str">
        <f>"(3)"</f>
        <v>(3)</v>
      </c>
      <c r="E2" s="1" t="str">
        <f>"(4)"</f>
        <v>(4)</v>
      </c>
      <c r="F2" s="1" t="str">
        <f>"(5)"</f>
        <v>(5)</v>
      </c>
      <c r="G2" s="1" t="str">
        <f>"(6)"</f>
        <v>(6)</v>
      </c>
      <c r="H2" s="1" t="str">
        <f>"(7)"</f>
        <v>(7)</v>
      </c>
      <c r="I2" s="1" t="str">
        <f>"(8)"</f>
        <v>(8)</v>
      </c>
      <c r="J2" s="1" t="str">
        <f>"(9)"</f>
        <v>(9)</v>
      </c>
      <c r="K2" s="1" t="str">
        <f>"(10)"</f>
        <v>(10)</v>
      </c>
      <c r="L2" s="1" t="str">
        <f>"(11)"</f>
        <v>(11)</v>
      </c>
      <c r="M2" s="1" t="str">
        <f>"(12)"</f>
        <v>(12)</v>
      </c>
      <c r="N2" s="1" t="str">
        <f>"(13)"</f>
        <v>(13)</v>
      </c>
      <c r="O2" s="1" t="str">
        <f>"(14)"</f>
        <v>(14)</v>
      </c>
      <c r="P2" s="1" t="str">
        <f>"(15)"</f>
        <v>(15)</v>
      </c>
      <c r="Q2" s="1" t="str">
        <f>"(16)"</f>
        <v>(16)</v>
      </c>
      <c r="R2" s="1" t="str">
        <f>"(17)"</f>
        <v>(17)</v>
      </c>
      <c r="S2" s="1" t="str">
        <f>"(18)"</f>
        <v>(18)</v>
      </c>
      <c r="T2" s="1" t="str">
        <f>"(19)"</f>
        <v>(19)</v>
      </c>
      <c r="U2" s="1" t="str">
        <f>"(20)"</f>
        <v>(20)</v>
      </c>
      <c r="V2" s="1" t="str">
        <f>"(21)"</f>
        <v>(21)</v>
      </c>
      <c r="W2" s="1" t="str">
        <f>"(22)"</f>
        <v>(22)</v>
      </c>
      <c r="X2" s="1" t="str">
        <f>"(23)"</f>
        <v>(23)</v>
      </c>
      <c r="Y2" s="1" t="str">
        <f>"(24)"</f>
        <v>(24)</v>
      </c>
      <c r="Z2" s="1" t="str">
        <f>"(25)"</f>
        <v>(25)</v>
      </c>
      <c r="AA2" s="1" t="str">
        <f>"(26)"</f>
        <v>(26)</v>
      </c>
      <c r="AB2" s="1" t="str">
        <f>"(27)"</f>
        <v>(27)</v>
      </c>
      <c r="AC2" s="1" t="str">
        <f>"(28)"</f>
        <v>(28)</v>
      </c>
      <c r="AD2" s="1" t="str">
        <f>"(29)"</f>
        <v>(29)</v>
      </c>
      <c r="AE2" s="1" t="str">
        <f>"(30)"</f>
        <v>(30)</v>
      </c>
      <c r="AF2" s="1" t="str">
        <f>"(31)"</f>
        <v>(31)</v>
      </c>
      <c r="AG2" s="1" t="str">
        <f>"(32)"</f>
        <v>(32)</v>
      </c>
      <c r="AH2" s="1" t="str">
        <f>"(33)"</f>
        <v>(33)</v>
      </c>
      <c r="AI2" s="1" t="str">
        <f>"(34)"</f>
        <v>(34)</v>
      </c>
      <c r="AJ2" s="1" t="str">
        <f>"(35)"</f>
        <v>(35)</v>
      </c>
      <c r="AK2" s="1" t="str">
        <f>"(36)"</f>
        <v>(36)</v>
      </c>
      <c r="AL2" s="1" t="str">
        <f>"(37)"</f>
        <v>(37)</v>
      </c>
      <c r="AM2" s="1" t="str">
        <f>"(38)"</f>
        <v>(38)</v>
      </c>
      <c r="AN2" s="1" t="str">
        <f>"(39)"</f>
        <v>(39)</v>
      </c>
      <c r="AO2" s="1" t="str">
        <f>"(40)"</f>
        <v>(40)</v>
      </c>
      <c r="AP2" s="1" t="str">
        <f>"(41)"</f>
        <v>(41)</v>
      </c>
      <c r="AQ2" s="1" t="str">
        <f>"(42)"</f>
        <v>(42)</v>
      </c>
      <c r="AR2" s="1" t="str">
        <f>"(43)"</f>
        <v>(43)</v>
      </c>
      <c r="AS2" s="1" t="str">
        <f>"(44)"</f>
        <v>(44)</v>
      </c>
      <c r="AT2" s="1" t="str">
        <f>"(45)"</f>
        <v>(45)</v>
      </c>
      <c r="AU2" s="1" t="str">
        <f>"(46)"</f>
        <v>(46)</v>
      </c>
      <c r="AV2" s="1" t="str">
        <f>"(47)"</f>
        <v>(47)</v>
      </c>
      <c r="AW2" s="1" t="str">
        <f>"(48)"</f>
        <v>(48)</v>
      </c>
      <c r="AX2" s="1" t="str">
        <f>"(49)"</f>
        <v>(49)</v>
      </c>
      <c r="AY2" s="1" t="str">
        <f>"(50)"</f>
        <v>(50)</v>
      </c>
      <c r="AZ2" s="1" t="str">
        <f>"(51)"</f>
        <v>(51)</v>
      </c>
      <c r="BA2" s="1" t="str">
        <f>"(52)"</f>
        <v>(52)</v>
      </c>
    </row>
    <row r="3" spans="1:53" x14ac:dyDescent="0.25">
      <c r="A3" s="1" t="str">
        <f>""</f>
        <v/>
      </c>
      <c r="B3" s="1" t="str">
        <f>"YB10_2"</f>
        <v>YB10_2</v>
      </c>
      <c r="C3" s="1" t="str">
        <f>"YB10_2"</f>
        <v>YB10_2</v>
      </c>
      <c r="D3" s="1" t="str">
        <f>"YB10_6"</f>
        <v>YB10_6</v>
      </c>
      <c r="E3" s="1" t="str">
        <f>"YB10_6"</f>
        <v>YB10_6</v>
      </c>
      <c r="F3" s="1" t="str">
        <f>"YB10_3"</f>
        <v>YB10_3</v>
      </c>
      <c r="G3" s="1" t="str">
        <f>"YB10_3"</f>
        <v>YB10_3</v>
      </c>
      <c r="H3" s="1" t="str">
        <f>"YB10_1"</f>
        <v>YB10_1</v>
      </c>
      <c r="I3" s="1" t="str">
        <f>"YB10_1"</f>
        <v>YB10_1</v>
      </c>
      <c r="J3" s="1" t="str">
        <f>"YB10_5"</f>
        <v>YB10_5</v>
      </c>
      <c r="K3" s="1" t="str">
        <f>"YB10_5"</f>
        <v>YB10_5</v>
      </c>
      <c r="L3" s="1" t="str">
        <f>"YB10_19"</f>
        <v>YB10_19</v>
      </c>
      <c r="M3" s="1" t="str">
        <f>"YB10_19"</f>
        <v>YB10_19</v>
      </c>
      <c r="N3" s="1" t="str">
        <f>"YB10_4"</f>
        <v>YB10_4</v>
      </c>
      <c r="O3" s="1" t="str">
        <f>"YB10_4"</f>
        <v>YB10_4</v>
      </c>
      <c r="P3" s="1" t="str">
        <f>"YB10_21"</f>
        <v>YB10_21</v>
      </c>
      <c r="Q3" s="1" t="str">
        <f>"YB10_21"</f>
        <v>YB10_21</v>
      </c>
      <c r="R3" s="1" t="str">
        <f>"YB10_7"</f>
        <v>YB10_7</v>
      </c>
      <c r="S3" s="1" t="str">
        <f>"YB10_7"</f>
        <v>YB10_7</v>
      </c>
      <c r="T3" s="1" t="str">
        <f>"YREB10_14"</f>
        <v>YREB10_14</v>
      </c>
      <c r="U3" s="1" t="str">
        <f>"YREB10_14"</f>
        <v>YREB10_14</v>
      </c>
      <c r="V3" s="1" t="str">
        <f>"YREB10_17"</f>
        <v>YREB10_17</v>
      </c>
      <c r="W3" s="1" t="str">
        <f>"YREB10_17"</f>
        <v>YREB10_17</v>
      </c>
      <c r="X3" s="1" t="str">
        <f>"YREB10_15"</f>
        <v>YREB10_15</v>
      </c>
      <c r="Y3" s="1" t="str">
        <f>"YREB10_15"</f>
        <v>YREB10_15</v>
      </c>
      <c r="Z3" s="1" t="str">
        <f>"YREB10_13"</f>
        <v>YREB10_13</v>
      </c>
      <c r="AA3" s="1" t="str">
        <f>"YREB10_13"</f>
        <v>YREB10_13</v>
      </c>
      <c r="AB3" s="1" t="str">
        <f>"YB10_16"</f>
        <v>YB10_16</v>
      </c>
      <c r="AC3" s="1" t="str">
        <f>"YB10_16"</f>
        <v>YB10_16</v>
      </c>
      <c r="AD3" s="1" t="str">
        <f>"YB10_18"</f>
        <v>YB10_18</v>
      </c>
      <c r="AE3" s="1" t="str">
        <f>"YB10_18"</f>
        <v>YB10_18</v>
      </c>
      <c r="AF3" s="1" t="str">
        <f>"YB6_overall_parent_ch"</f>
        <v>YB6_overall_parent_ch</v>
      </c>
      <c r="AG3" s="1" t="str">
        <f>"YB6_overall_parent_ch"</f>
        <v>YB6_overall_parent_ch</v>
      </c>
      <c r="AH3" s="1" t="str">
        <f>"YB11B"</f>
        <v>YB11B</v>
      </c>
      <c r="AI3" s="1" t="str">
        <f>"YB11B"</f>
        <v>YB11B</v>
      </c>
      <c r="AJ3" s="1" t="str">
        <f>"YREB11A"</f>
        <v>YREB11A</v>
      </c>
      <c r="AK3" s="1" t="str">
        <f>"YREB11A"</f>
        <v>YREB11A</v>
      </c>
      <c r="AL3" s="1" t="str">
        <f>"YREB10_8"</f>
        <v>YREB10_8</v>
      </c>
      <c r="AM3" s="1" t="str">
        <f>"YREB10_8"</f>
        <v>YREB10_8</v>
      </c>
      <c r="AN3" s="1" t="str">
        <f>"YC19"</f>
        <v>YC19</v>
      </c>
      <c r="AO3" s="1" t="str">
        <f>"YC19"</f>
        <v>YC19</v>
      </c>
      <c r="AP3" s="1" t="str">
        <f>"YB9_relationship_othe"</f>
        <v>YB9_relationship_othe</v>
      </c>
      <c r="AQ3" s="1" t="str">
        <f>"YB9_relationship_othe"</f>
        <v>YB9_relationship_othe</v>
      </c>
      <c r="AR3" s="1" t="str">
        <f>"YC24_safety"</f>
        <v>YC24_safety</v>
      </c>
      <c r="AS3" s="1" t="str">
        <f>"YC24_safety"</f>
        <v>YC24_safety</v>
      </c>
      <c r="AT3" s="1" t="str">
        <f>"Child report: Parents lack anger issues"</f>
        <v>Child report: Parents lack anger issues</v>
      </c>
      <c r="AU3" s="1" t="str">
        <f>"Child report: Parents lack anger issues"</f>
        <v>Child report: Parents lack anger issues</v>
      </c>
      <c r="AV3" s="1" t="str">
        <f>"Child report: Parents never rejected"</f>
        <v>Child report: Parents never rejected</v>
      </c>
      <c r="AW3" s="1" t="str">
        <f>"Child report: Parents never rejected"</f>
        <v>Child report: Parents never rejected</v>
      </c>
      <c r="AX3" s="1" t="str">
        <f>"Child report: Parents never left or died"</f>
        <v>Child report: Parents never left or died</v>
      </c>
      <c r="AY3" s="1" t="str">
        <f>"Child report: Parents never left or died"</f>
        <v>Child report: Parents never left or died</v>
      </c>
      <c r="AZ3" s="1" t="str">
        <f>"Child report: Parents do not struggle with drugs or alcohol"</f>
        <v>Child report: Parents do not struggle with drugs or alcohol</v>
      </c>
      <c r="BA3" s="1" t="str">
        <f>"Child report: Parents do not struggle with drugs or alcohol"</f>
        <v>Child report: Parents do not struggle with drugs or alcohol</v>
      </c>
    </row>
    <row r="4" spans="1:53" x14ac:dyDescent="0.25">
      <c r="B4" s="1" t="s">
        <v>0</v>
      </c>
      <c r="C4" s="1" t="s">
        <v>0</v>
      </c>
      <c r="D4" s="1" t="s">
        <v>1</v>
      </c>
      <c r="E4" s="1" t="s">
        <v>1</v>
      </c>
      <c r="F4" s="1" t="s">
        <v>2</v>
      </c>
      <c r="G4" s="1" t="s">
        <v>2</v>
      </c>
      <c r="H4" s="1" t="s">
        <v>3</v>
      </c>
      <c r="I4" s="1" t="s">
        <v>3</v>
      </c>
      <c r="J4" s="1" t="s">
        <v>4</v>
      </c>
      <c r="K4" s="1" t="s">
        <v>4</v>
      </c>
      <c r="L4" s="1" t="s">
        <v>5</v>
      </c>
      <c r="M4" s="1" t="s">
        <v>5</v>
      </c>
      <c r="N4" s="1" t="s">
        <v>6</v>
      </c>
      <c r="O4" s="1" t="s">
        <v>6</v>
      </c>
      <c r="P4" s="1" t="s">
        <v>7</v>
      </c>
      <c r="Q4" s="1" t="s">
        <v>7</v>
      </c>
      <c r="R4" s="1" t="s">
        <v>8</v>
      </c>
      <c r="S4" s="1" t="s">
        <v>8</v>
      </c>
      <c r="T4" s="1" t="s">
        <v>9</v>
      </c>
      <c r="U4" s="1" t="s">
        <v>9</v>
      </c>
      <c r="V4" s="1" t="s">
        <v>10</v>
      </c>
      <c r="W4" s="1" t="s">
        <v>10</v>
      </c>
      <c r="X4" s="1" t="s">
        <v>11</v>
      </c>
      <c r="Y4" s="1" t="s">
        <v>11</v>
      </c>
      <c r="Z4" s="1" t="s">
        <v>12</v>
      </c>
      <c r="AA4" s="1" t="s">
        <v>12</v>
      </c>
      <c r="AB4" s="1" t="s">
        <v>13</v>
      </c>
      <c r="AC4" s="1" t="s">
        <v>13</v>
      </c>
      <c r="AD4" s="1" t="s">
        <v>14</v>
      </c>
      <c r="AE4" s="1" t="s">
        <v>14</v>
      </c>
      <c r="AF4" s="1" t="s">
        <v>15</v>
      </c>
      <c r="AG4" s="1" t="s">
        <v>15</v>
      </c>
      <c r="AH4" s="1" t="s">
        <v>16</v>
      </c>
      <c r="AI4" s="1" t="s">
        <v>16</v>
      </c>
      <c r="AJ4" s="1" t="s">
        <v>17</v>
      </c>
      <c r="AK4" s="1" t="s">
        <v>17</v>
      </c>
      <c r="AL4" s="1" t="s">
        <v>18</v>
      </c>
      <c r="AM4" s="1" t="s">
        <v>18</v>
      </c>
      <c r="AN4" s="1" t="s">
        <v>19</v>
      </c>
      <c r="AO4" s="1" t="s">
        <v>19</v>
      </c>
      <c r="AP4" s="1" t="s">
        <v>20</v>
      </c>
      <c r="AQ4" s="1" t="s">
        <v>20</v>
      </c>
      <c r="AR4" s="1" t="s">
        <v>21</v>
      </c>
      <c r="AS4" s="1" t="s">
        <v>21</v>
      </c>
      <c r="AT4" s="1" t="str">
        <f>"Child report: Parents lack anger issues"</f>
        <v>Child report: Parents lack anger issues</v>
      </c>
      <c r="AU4" s="1" t="str">
        <f>"Child report: Parents lack anger issues"</f>
        <v>Child report: Parents lack anger issues</v>
      </c>
      <c r="AV4" s="1" t="str">
        <f>"Child report: Parents never rejected"</f>
        <v>Child report: Parents never rejected</v>
      </c>
      <c r="AW4" s="1" t="str">
        <f>"Child report: Parents never rejected"</f>
        <v>Child report: Parents never rejected</v>
      </c>
      <c r="AX4" s="1" t="str">
        <f>"Child report: Parents never left or died"</f>
        <v>Child report: Parents never left or died</v>
      </c>
      <c r="AY4" s="1" t="str">
        <f>"Child report: Parents never left or died"</f>
        <v>Child report: Parents never left or died</v>
      </c>
      <c r="AZ4" s="1" t="str">
        <f>"Child report: Parents do not struggle with drugs or alcohol"</f>
        <v>Child report: Parents do not struggle with drugs or alcohol</v>
      </c>
      <c r="BA4" s="1" t="str">
        <f>"Child report: Parents do not struggle with drugs or alcohol"</f>
        <v>Child report: Parents do not struggle with drugs or alcohol</v>
      </c>
    </row>
    <row r="6" spans="1:53" x14ac:dyDescent="0.25">
      <c r="A6" s="1" t="s">
        <v>25</v>
      </c>
      <c r="B6" s="1" t="str">
        <f>"1.544"</f>
        <v>1.544</v>
      </c>
      <c r="C6" s="1" t="str">
        <f>"519.902**"</f>
        <v>519.902**</v>
      </c>
      <c r="D6" s="1" t="str">
        <f>"0.613"</f>
        <v>0.613</v>
      </c>
      <c r="E6" s="1" t="str">
        <f>"3.851"</f>
        <v>3.851</v>
      </c>
      <c r="F6" s="1" t="str">
        <f>"0.695"</f>
        <v>0.695</v>
      </c>
      <c r="G6" s="1" t="str">
        <f>"143.365*"</f>
        <v>143.365*</v>
      </c>
      <c r="H6" s="1" t="str">
        <f>"1.383"</f>
        <v>1.383</v>
      </c>
      <c r="I6" s="1" t="str">
        <f>"7.841"</f>
        <v>7.841</v>
      </c>
      <c r="J6" s="1" t="str">
        <f>"0.659"</f>
        <v>0.659</v>
      </c>
      <c r="K6" s="1" t="str">
        <f>"0.930"</f>
        <v>0.930</v>
      </c>
      <c r="L6" s="1" t="str">
        <f>"0.344"</f>
        <v>0.344</v>
      </c>
      <c r="M6" s="1" t="str">
        <f>"314.061*"</f>
        <v>314.061*</v>
      </c>
      <c r="N6" s="1" t="str">
        <f>"0.965"</f>
        <v>0.965</v>
      </c>
      <c r="O6" s="1" t="str">
        <f>"2.317"</f>
        <v>2.317</v>
      </c>
      <c r="P6" s="1" t="str">
        <f>"1.757"</f>
        <v>1.757</v>
      </c>
      <c r="Q6" s="1" t="str">
        <f>"0.000*"</f>
        <v>0.000*</v>
      </c>
      <c r="R6" s="1" t="str">
        <f>"1.097"</f>
        <v>1.097</v>
      </c>
      <c r="S6" s="1" t="str">
        <f>"0.000**"</f>
        <v>0.000**</v>
      </c>
      <c r="T6" s="1" t="str">
        <f>"0.770"</f>
        <v>0.770</v>
      </c>
      <c r="U6" s="1" t="str">
        <f>"0.518"</f>
        <v>0.518</v>
      </c>
      <c r="V6" s="1" t="str">
        <f>"1.543"</f>
        <v>1.543</v>
      </c>
      <c r="W6" s="1" t="str">
        <f>"5.163"</f>
        <v>5.163</v>
      </c>
      <c r="X6" s="1" t="str">
        <f>"1.420"</f>
        <v>1.420</v>
      </c>
      <c r="Y6" s="1" t="str">
        <f>"9.117"</f>
        <v>9.117</v>
      </c>
      <c r="Z6" s="1" t="str">
        <f>"2.626**"</f>
        <v>2.626**</v>
      </c>
      <c r="AA6" s="1" t="str">
        <f>"41.518**"</f>
        <v>41.518**</v>
      </c>
      <c r="AB6" s="1" t="str">
        <f>"2.503*"</f>
        <v>2.503*</v>
      </c>
      <c r="AC6" s="1" t="str">
        <f>"351.325***"</f>
        <v>351.325***</v>
      </c>
      <c r="AD6" s="1" t="str">
        <f>"1.126"</f>
        <v>1.126</v>
      </c>
      <c r="AE6" s="1" t="str">
        <f>"539.663***"</f>
        <v>539.663***</v>
      </c>
      <c r="AF6" s="1" t="str">
        <f>"0.397*"</f>
        <v>0.397*</v>
      </c>
      <c r="AG6" s="1" t="str">
        <f>"2.120"</f>
        <v>2.120</v>
      </c>
      <c r="AH6" s="1" t="str">
        <f>"0.504*"</f>
        <v>0.504*</v>
      </c>
      <c r="AI6" s="1" t="str">
        <f>"0.044"</f>
        <v>0.044</v>
      </c>
      <c r="AJ6" s="1" t="str">
        <f>"0.936"</f>
        <v>0.936</v>
      </c>
      <c r="AK6" s="1" t="str">
        <f>"0.892"</f>
        <v>0.892</v>
      </c>
      <c r="AL6" s="1" t="str">
        <f>"2.036*"</f>
        <v>2.036*</v>
      </c>
      <c r="AM6" s="1" t="str">
        <f>"9.191"</f>
        <v>9.191</v>
      </c>
      <c r="AN6" s="1" t="str">
        <f>"0.844"</f>
        <v>0.844</v>
      </c>
      <c r="AO6" s="1" t="str">
        <f>"8.952"</f>
        <v>8.952</v>
      </c>
      <c r="AP6" s="1" t="str">
        <f>"0.732"</f>
        <v>0.732</v>
      </c>
      <c r="AQ6" s="1" t="str">
        <f>"0.008**"</f>
        <v>0.008**</v>
      </c>
      <c r="AR6" s="1" t="str">
        <f>"0.100***"</f>
        <v>0.100***</v>
      </c>
      <c r="AS6" s="1" t="str">
        <f>"0.043"</f>
        <v>0.043</v>
      </c>
      <c r="AT6" s="1" t="str">
        <f>"3.845*"</f>
        <v>3.845*</v>
      </c>
      <c r="AU6" s="1" t="str">
        <f>"57.165"</f>
        <v>57.165</v>
      </c>
      <c r="AV6" s="1" t="str">
        <f>"0.332**"</f>
        <v>0.332**</v>
      </c>
      <c r="AW6" s="1" t="str">
        <f>"15.427"</f>
        <v>15.427</v>
      </c>
      <c r="AX6" s="1" t="str">
        <f>"0.735"</f>
        <v>0.735</v>
      </c>
      <c r="AY6" s="1" t="str">
        <f>"28.793"</f>
        <v>28.793</v>
      </c>
      <c r="AZ6" s="1" t="str">
        <f>"4.345**"</f>
        <v>4.345**</v>
      </c>
      <c r="BA6" s="1" t="str">
        <f>"64.143**"</f>
        <v>64.143**</v>
      </c>
    </row>
    <row r="7" spans="1:53" x14ac:dyDescent="0.25">
      <c r="A7" s="1" t="str">
        <f>""</f>
        <v/>
      </c>
      <c r="B7" s="1" t="str">
        <f>"(1.167)"</f>
        <v>(1.167)</v>
      </c>
      <c r="C7" s="1" t="str">
        <f>"(1167.398)"</f>
        <v>(1167.398)</v>
      </c>
      <c r="D7" s="1" t="str">
        <f>"(0.207)"</f>
        <v>(0.207)</v>
      </c>
      <c r="E7" s="1" t="str">
        <f>"(14.485)"</f>
        <v>(14.485)</v>
      </c>
      <c r="F7" s="1" t="str">
        <f>"(0.282)"</f>
        <v>(0.282)</v>
      </c>
      <c r="G7" s="1" t="str">
        <f>"(295.372)"</f>
        <v>(295.372)</v>
      </c>
      <c r="H7" s="1" t="str">
        <f>"(0.570)"</f>
        <v>(0.570)</v>
      </c>
      <c r="I7" s="1" t="str">
        <f>"(24.822)"</f>
        <v>(24.822)</v>
      </c>
      <c r="J7" s="1" t="str">
        <f>"(0.180)"</f>
        <v>(0.180)</v>
      </c>
      <c r="K7" s="1" t="str">
        <f>"(2.254)"</f>
        <v>(2.254)</v>
      </c>
      <c r="L7" s="1" t="str">
        <f>"(0.226)"</f>
        <v>(0.226)</v>
      </c>
      <c r="M7" s="1" t="str">
        <f>"(904.331)"</f>
        <v>(904.331)</v>
      </c>
      <c r="N7" s="1" t="str">
        <f>"(0.253)"</f>
        <v>(0.253)</v>
      </c>
      <c r="O7" s="1" t="str">
        <f>"(7.190)"</f>
        <v>(7.190)</v>
      </c>
      <c r="P7" s="1" t="str">
        <f>"(0.860)"</f>
        <v>(0.860)</v>
      </c>
      <c r="Q7" s="1" t="str">
        <f>"(0.000)"</f>
        <v>(0.000)</v>
      </c>
      <c r="R7" s="1" t="str">
        <f>"(0.269)"</f>
        <v>(0.269)</v>
      </c>
      <c r="S7" s="1" t="str">
        <f>"(0.001)"</f>
        <v>(0.001)</v>
      </c>
      <c r="T7" s="1" t="str">
        <f>"(0.184)"</f>
        <v>(0.184)</v>
      </c>
      <c r="U7" s="1" t="str">
        <f>"(0.867)"</f>
        <v>(0.867)</v>
      </c>
      <c r="V7" s="1" t="str">
        <f>"(0.499)"</f>
        <v>(0.499)</v>
      </c>
      <c r="W7" s="1" t="str">
        <f>"(9.409)"</f>
        <v>(9.409)</v>
      </c>
      <c r="X7" s="1" t="str">
        <f>"(0.507)"</f>
        <v>(0.507)</v>
      </c>
      <c r="Y7" s="1" t="str">
        <f>"(12.741)"</f>
        <v>(12.741)</v>
      </c>
      <c r="Z7" s="1" t="str">
        <f>"(0.935)"</f>
        <v>(0.935)</v>
      </c>
      <c r="AA7" s="1" t="str">
        <f>"(49.646)"</f>
        <v>(49.646)</v>
      </c>
      <c r="AB7" s="1" t="str">
        <f>"(1.017)"</f>
        <v>(1.017)</v>
      </c>
      <c r="AC7" s="1" t="str">
        <f>"(350.425)"</f>
        <v>(350.425)</v>
      </c>
      <c r="AD7" s="1" t="str">
        <f>"(0.315)"</f>
        <v>(0.315)</v>
      </c>
      <c r="AE7" s="1" t="str">
        <f>"(616.976)"</f>
        <v>(616.976)</v>
      </c>
      <c r="AF7" s="1" t="str">
        <f>"(0.177)"</f>
        <v>(0.177)</v>
      </c>
      <c r="AG7" s="1" t="str">
        <f>"(5.002)"</f>
        <v>(5.002)</v>
      </c>
      <c r="AH7" s="1" t="str">
        <f>"(0.168)"</f>
        <v>(0.168)</v>
      </c>
      <c r="AI7" s="1" t="str">
        <f>"(0.074)"</f>
        <v>(0.074)</v>
      </c>
      <c r="AJ7" s="1" t="str">
        <f>"(0.273)"</f>
        <v>(0.273)</v>
      </c>
      <c r="AK7" s="1" t="str">
        <f>"(1.712)"</f>
        <v>(1.712)</v>
      </c>
      <c r="AL7" s="1" t="str">
        <f>"(0.633)"</f>
        <v>(0.633)</v>
      </c>
      <c r="AM7" s="1" t="str">
        <f>"(12.581)"</f>
        <v>(12.581)</v>
      </c>
      <c r="AN7" s="1" t="str">
        <f>"(0.394)"</f>
        <v>(0.394)</v>
      </c>
      <c r="AO7" s="1" t="str">
        <f>"(23.592)"</f>
        <v>(23.592)</v>
      </c>
      <c r="AP7" s="1" t="str">
        <f>"(0.219)"</f>
        <v>(0.219)</v>
      </c>
      <c r="AQ7" s="1" t="str">
        <f>"(0.014)"</f>
        <v>(0.014)</v>
      </c>
      <c r="AR7" s="1" t="str">
        <f>"(0.062)"</f>
        <v>(0.062)</v>
      </c>
      <c r="AS7" s="1" t="str">
        <f>"(0.096)"</f>
        <v>(0.096)</v>
      </c>
      <c r="AT7" s="1" t="str">
        <f>"(2.076)"</f>
        <v>(2.076)</v>
      </c>
      <c r="AU7" s="1" t="str">
        <f>"(135.481)"</f>
        <v>(135.481)</v>
      </c>
      <c r="AV7" s="1" t="str">
        <f>"(0.139)"</f>
        <v>(0.139)</v>
      </c>
      <c r="AW7" s="1" t="str">
        <f>"(23.193)"</f>
        <v>(23.193)</v>
      </c>
      <c r="AX7" s="1" t="str">
        <f>"(0.398)"</f>
        <v>(0.398)</v>
      </c>
      <c r="AY7" s="1" t="str">
        <f>"(61.597)"</f>
        <v>(61.597)</v>
      </c>
      <c r="AZ7" s="1" t="str">
        <f>"(2.177)"</f>
        <v>(2.177)</v>
      </c>
      <c r="BA7" s="1" t="str">
        <f>"(89.584)"</f>
        <v>(89.584)</v>
      </c>
    </row>
    <row r="8" spans="1:53" x14ac:dyDescent="0.25">
      <c r="A8" s="1" t="s">
        <v>26</v>
      </c>
      <c r="B8" s="1" t="str">
        <f>"0.941"</f>
        <v>0.941</v>
      </c>
      <c r="C8" s="1" t="str">
        <f>"0.270"</f>
        <v>0.270</v>
      </c>
      <c r="D8" s="1" t="str">
        <f>"0.453*"</f>
        <v>0.453*</v>
      </c>
      <c r="E8" s="1" t="str">
        <f>"1.892"</f>
        <v>1.892</v>
      </c>
      <c r="F8" s="1" t="str">
        <f>"0.444**"</f>
        <v>0.444**</v>
      </c>
      <c r="G8" s="1" t="str">
        <f>"0.434"</f>
        <v>0.434</v>
      </c>
      <c r="H8" s="1" t="str">
        <f>"0.923"</f>
        <v>0.923</v>
      </c>
      <c r="I8" s="1" t="str">
        <f>"0.039"</f>
        <v>0.039</v>
      </c>
      <c r="J8" s="1" t="str">
        <f>"0.645"</f>
        <v>0.645</v>
      </c>
      <c r="K8" s="1" t="str">
        <f>"339.193*"</f>
        <v>339.193*</v>
      </c>
      <c r="L8" s="1" t="str">
        <f>"1.527"</f>
        <v>1.527</v>
      </c>
      <c r="M8" s="1" t="str">
        <f>"0.638"</f>
        <v>0.638</v>
      </c>
      <c r="N8" s="1" t="str">
        <f>"1.069"</f>
        <v>1.069</v>
      </c>
      <c r="O8" s="1" t="str">
        <f>"0.054"</f>
        <v>0.054</v>
      </c>
      <c r="P8" s="1" t="str">
        <f>"1.785"</f>
        <v>1.785</v>
      </c>
      <c r="Q8" s="1" t="str">
        <f>"0.000*"</f>
        <v>0.000*</v>
      </c>
      <c r="R8" s="1" t="str">
        <f>"0.701"</f>
        <v>0.701</v>
      </c>
      <c r="S8" s="1" t="str">
        <f>"0.001**"</f>
        <v>0.001**</v>
      </c>
      <c r="T8" s="1" t="str">
        <f>"0.351**"</f>
        <v>0.351**</v>
      </c>
      <c r="U8" s="1" t="str">
        <f>"267.742***"</f>
        <v>267.742***</v>
      </c>
      <c r="V8" s="1" t="str">
        <f>"0.338***"</f>
        <v>0.338***</v>
      </c>
      <c r="W8" s="1" t="str">
        <f>"0.089"</f>
        <v>0.089</v>
      </c>
      <c r="X8" s="1" t="str">
        <f>"0.561*"</f>
        <v>0.561*</v>
      </c>
      <c r="Y8" s="1" t="str">
        <f>"0.005*"</f>
        <v>0.005*</v>
      </c>
      <c r="Z8" s="1" t="str">
        <f>"0.731"</f>
        <v>0.731</v>
      </c>
      <c r="AA8" s="1" t="str">
        <f>"0.117"</f>
        <v>0.117</v>
      </c>
      <c r="AB8" s="1" t="str">
        <f>"1.421"</f>
        <v>1.421</v>
      </c>
      <c r="AC8" s="1" t="str">
        <f>"7.507"</f>
        <v>7.507</v>
      </c>
      <c r="AD8" s="1" t="str">
        <f>"1.276"</f>
        <v>1.276</v>
      </c>
      <c r="AE8" s="1" t="str">
        <f>"35.297***"</f>
        <v>35.297***</v>
      </c>
      <c r="AF8" s="1" t="str">
        <f>"0.417"</f>
        <v>0.417</v>
      </c>
      <c r="AG8" s="1" t="str">
        <f>"4.482"</f>
        <v>4.482</v>
      </c>
      <c r="AH8" s="1" t="str">
        <f>"0.734"</f>
        <v>0.734</v>
      </c>
      <c r="AI8" s="1" t="str">
        <f>"0.650"</f>
        <v>0.650</v>
      </c>
      <c r="AJ8" s="1" t="str">
        <f>"1.773*"</f>
        <v>1.773*</v>
      </c>
      <c r="AK8" s="1" t="str">
        <f>"0.544"</f>
        <v>0.544</v>
      </c>
      <c r="AL8" s="1" t="str">
        <f>"1.099"</f>
        <v>1.099</v>
      </c>
      <c r="AM8" s="1" t="str">
        <f>"9.221"</f>
        <v>9.221</v>
      </c>
      <c r="AN8" s="1" t="str">
        <f>"0.825"</f>
        <v>0.825</v>
      </c>
      <c r="AO8" s="1" t="str">
        <f>"0.348"</f>
        <v>0.348</v>
      </c>
      <c r="AP8" s="1" t="str">
        <f>"0.739"</f>
        <v>0.739</v>
      </c>
      <c r="AQ8" s="1" t="str">
        <f>"0.073"</f>
        <v>0.073</v>
      </c>
      <c r="AR8" s="1" t="str">
        <f>"0.488"</f>
        <v>0.488</v>
      </c>
      <c r="AS8" s="1" t="str">
        <f>"0.242"</f>
        <v>0.242</v>
      </c>
      <c r="AT8" s="1" t="str">
        <f>"0.403**"</f>
        <v>0.403**</v>
      </c>
      <c r="AU8" s="1" t="str">
        <f>"0.001*"</f>
        <v>0.001*</v>
      </c>
      <c r="AV8" s="1" t="str">
        <f>"1.852"</f>
        <v>1.852</v>
      </c>
      <c r="AW8" s="1" t="str">
        <f>"0.959"</f>
        <v>0.959</v>
      </c>
      <c r="AX8" s="1" t="str">
        <f>"0.869"</f>
        <v>0.869</v>
      </c>
      <c r="AY8" s="1" t="str">
        <f>"0.061"</f>
        <v>0.061</v>
      </c>
      <c r="AZ8" s="1" t="str">
        <f>"0.848"</f>
        <v>0.848</v>
      </c>
      <c r="BA8" s="1" t="str">
        <f>"0.383"</f>
        <v>0.383</v>
      </c>
    </row>
    <row r="9" spans="1:53" x14ac:dyDescent="0.25">
      <c r="A9" s="1" t="str">
        <f>""</f>
        <v/>
      </c>
      <c r="B9" s="1" t="str">
        <f>"(0.345)"</f>
        <v>(0.345)</v>
      </c>
      <c r="C9" s="1" t="str">
        <f>"(0.816)"</f>
        <v>(0.816)</v>
      </c>
      <c r="D9" s="1" t="str">
        <f>"(0.157)"</f>
        <v>(0.157)</v>
      </c>
      <c r="E9" s="1" t="str">
        <f>"(5.393)"</f>
        <v>(5.393)</v>
      </c>
      <c r="F9" s="1" t="str">
        <f>"(0.134)"</f>
        <v>(0.134)</v>
      </c>
      <c r="G9" s="1" t="str">
        <f>"(1.148)"</f>
        <v>(1.148)</v>
      </c>
      <c r="H9" s="1" t="str">
        <f>"(0.243)"</f>
        <v>(0.243)</v>
      </c>
      <c r="I9" s="1" t="str">
        <f>"(0.116)"</f>
        <v>(0.116)</v>
      </c>
      <c r="J9" s="1" t="str">
        <f>"(0.203)"</f>
        <v>(0.203)</v>
      </c>
      <c r="K9" s="1" t="str">
        <f>"(821.395)"</f>
        <v>(821.395)</v>
      </c>
      <c r="L9" s="1" t="str">
        <f>"(0.765)"</f>
        <v>(0.765)</v>
      </c>
      <c r="M9" s="1" t="str">
        <f>"(2.703)"</f>
        <v>(2.703)</v>
      </c>
      <c r="N9" s="1" t="str">
        <f>"(0.266)"</f>
        <v>(0.266)</v>
      </c>
      <c r="O9" s="1" t="str">
        <f>"(0.182)"</f>
        <v>(0.182)</v>
      </c>
      <c r="P9" s="1" t="str">
        <f>"(0.946)"</f>
        <v>(0.946)</v>
      </c>
      <c r="Q9" s="1" t="str">
        <f>"(0.000)"</f>
        <v>(0.000)</v>
      </c>
      <c r="R9" s="1" t="str">
        <f>"(0.167)"</f>
        <v>(0.167)</v>
      </c>
      <c r="S9" s="1" t="str">
        <f>"(0.002)"</f>
        <v>(0.002)</v>
      </c>
      <c r="T9" s="1" t="str">
        <f>"(0.114)"</f>
        <v>(0.114)</v>
      </c>
      <c r="U9" s="1" t="str">
        <f>"(394.451)"</f>
        <v>(394.451)</v>
      </c>
      <c r="V9" s="1" t="str">
        <f>"(0.081)"</f>
        <v>(0.081)</v>
      </c>
      <c r="W9" s="1" t="str">
        <f>"(0.159)"</f>
        <v>(0.159)</v>
      </c>
      <c r="X9" s="1" t="str">
        <f>"(0.138)"</f>
        <v>(0.138)</v>
      </c>
      <c r="Y9" s="1" t="str">
        <f>"(0.012)"</f>
        <v>(0.012)</v>
      </c>
      <c r="Z9" s="1" t="str">
        <f>"(0.183)"</f>
        <v>(0.183)</v>
      </c>
      <c r="AA9" s="1" t="str">
        <f>"(0.218)"</f>
        <v>(0.218)</v>
      </c>
      <c r="AB9" s="1" t="str">
        <f>"(0.385)"</f>
        <v>(0.385)</v>
      </c>
      <c r="AC9" s="1" t="str">
        <f>"(8.731)"</f>
        <v>(8.731)</v>
      </c>
      <c r="AD9" s="1" t="str">
        <f>"(0.278)"</f>
        <v>(0.278)</v>
      </c>
      <c r="AE9" s="1" t="str">
        <f>"(37.835)"</f>
        <v>(37.835)</v>
      </c>
      <c r="AF9" s="1" t="str">
        <f>"(0.204)"</f>
        <v>(0.204)</v>
      </c>
      <c r="AG9" s="1" t="str">
        <f>"(7.194)"</f>
        <v>(7.194)</v>
      </c>
      <c r="AH9" s="1" t="str">
        <f>"(0.215)"</f>
        <v>(0.215)</v>
      </c>
      <c r="AI9" s="1" t="str">
        <f>"(1.631)"</f>
        <v>(1.631)</v>
      </c>
      <c r="AJ9" s="1" t="str">
        <f>"(0.482)"</f>
        <v>(0.482)</v>
      </c>
      <c r="AK9" s="1" t="str">
        <f>"(1.343)"</f>
        <v>(1.343)</v>
      </c>
      <c r="AL9" s="1" t="str">
        <f>"(0.301)"</f>
        <v>(0.301)</v>
      </c>
      <c r="AM9" s="1" t="str">
        <f>"(17.710)"</f>
        <v>(17.710)</v>
      </c>
      <c r="AN9" s="1" t="str">
        <f>"(0.274)"</f>
        <v>(0.274)</v>
      </c>
      <c r="AO9" s="1" t="str">
        <f>"(0.916)"</f>
        <v>(0.916)</v>
      </c>
      <c r="AP9" s="1" t="str">
        <f>"(0.217)"</f>
        <v>(0.217)</v>
      </c>
      <c r="AQ9" s="1" t="str">
        <f>"(0.110)"</f>
        <v>(0.110)</v>
      </c>
      <c r="AR9" s="1" t="str">
        <f>"(0.246)"</f>
        <v>(0.246)</v>
      </c>
      <c r="AS9" s="1" t="str">
        <f>"(0.443)"</f>
        <v>(0.443)</v>
      </c>
      <c r="AT9" s="1" t="str">
        <f>"(0.117)"</f>
        <v>(0.117)</v>
      </c>
      <c r="AU9" s="1" t="str">
        <f>"(0.003)"</f>
        <v>(0.003)</v>
      </c>
      <c r="AV9" s="1" t="str">
        <f>"(0.717)"</f>
        <v>(0.717)</v>
      </c>
      <c r="AW9" s="1" t="str">
        <f>"(1.764)"</f>
        <v>(1.764)</v>
      </c>
      <c r="AX9" s="1" t="str">
        <f>"(0.316)"</f>
        <v>(0.316)</v>
      </c>
      <c r="AY9" s="1" t="str">
        <f>"(0.137)"</f>
        <v>(0.137)</v>
      </c>
      <c r="AZ9" s="1" t="str">
        <f>"(0.380)"</f>
        <v>(0.380)</v>
      </c>
      <c r="BA9" s="1" t="str">
        <f>"(0.762)"</f>
        <v>(0.762)</v>
      </c>
    </row>
    <row r="10" spans="1:53" x14ac:dyDescent="0.25">
      <c r="A10" s="1" t="str">
        <f>"Responsiveness x Black"</f>
        <v>Responsiveness x Black</v>
      </c>
      <c r="B10" s="1" t="str">
        <f>""</f>
        <v/>
      </c>
      <c r="C10" s="1" t="str">
        <f>"0.227*"</f>
        <v>0.227*</v>
      </c>
      <c r="D10" s="1" t="str">
        <f>""</f>
        <v/>
      </c>
      <c r="E10" s="1" t="str">
        <f>"0.638"</f>
        <v>0.638</v>
      </c>
      <c r="F10" s="1" t="str">
        <f>""</f>
        <v/>
      </c>
      <c r="G10" s="1" t="str">
        <f>"0.275**"</f>
        <v>0.275**</v>
      </c>
      <c r="H10" s="1" t="str">
        <f>""</f>
        <v/>
      </c>
      <c r="I10" s="1" t="str">
        <f>"0.650"</f>
        <v>0.650</v>
      </c>
      <c r="J10" s="1" t="str">
        <f>""</f>
        <v/>
      </c>
      <c r="K10" s="1" t="str">
        <f>"0.930"</f>
        <v>0.930</v>
      </c>
      <c r="L10" s="1" t="str">
        <f>""</f>
        <v/>
      </c>
      <c r="M10" s="1" t="str">
        <f>"0.175*"</f>
        <v>0.175*</v>
      </c>
      <c r="N10" s="1" t="str">
        <f>""</f>
        <v/>
      </c>
      <c r="O10" s="1" t="str">
        <f>"0.813"</f>
        <v>0.813</v>
      </c>
      <c r="P10" s="1" t="str">
        <f>""</f>
        <v/>
      </c>
      <c r="Q10" s="1" t="str">
        <f>"63.318**"</f>
        <v>63.318**</v>
      </c>
      <c r="R10" s="1" t="str">
        <f>""</f>
        <v/>
      </c>
      <c r="S10" s="1" t="str">
        <f>"6.283**"</f>
        <v>6.283**</v>
      </c>
      <c r="T10" s="1" t="str">
        <f>""</f>
        <v/>
      </c>
      <c r="U10" s="1" t="str">
        <f>""</f>
        <v/>
      </c>
      <c r="V10" s="1" t="str">
        <f>""</f>
        <v/>
      </c>
      <c r="W10" s="1" t="str">
        <f>""</f>
        <v/>
      </c>
      <c r="X10" s="1" t="str">
        <f>""</f>
        <v/>
      </c>
      <c r="Y10" s="1" t="str">
        <f>""</f>
        <v/>
      </c>
      <c r="Z10" s="1" t="str">
        <f>""</f>
        <v/>
      </c>
      <c r="AA10" s="1" t="str">
        <f>""</f>
        <v/>
      </c>
      <c r="AB10" s="1" t="str">
        <f>""</f>
        <v/>
      </c>
      <c r="AC10" s="1" t="str">
        <f>""</f>
        <v/>
      </c>
      <c r="AD10" s="1" t="str">
        <f>""</f>
        <v/>
      </c>
      <c r="AE10" s="1" t="str">
        <f>""</f>
        <v/>
      </c>
      <c r="AF10" s="1" t="str">
        <f>""</f>
        <v/>
      </c>
      <c r="AG10" s="1" t="str">
        <f>""</f>
        <v/>
      </c>
      <c r="AH10" s="1" t="str">
        <f>""</f>
        <v/>
      </c>
      <c r="AI10" s="1" t="str">
        <f>""</f>
        <v/>
      </c>
      <c r="AJ10" s="1" t="str">
        <f>""</f>
        <v/>
      </c>
      <c r="AK10" s="1" t="str">
        <f>""</f>
        <v/>
      </c>
      <c r="AL10" s="1" t="str">
        <f>""</f>
        <v/>
      </c>
      <c r="AM10" s="1" t="str">
        <f>""</f>
        <v/>
      </c>
      <c r="AN10" s="1" t="str">
        <f>""</f>
        <v/>
      </c>
      <c r="AO10" s="1" t="str">
        <f>""</f>
        <v/>
      </c>
      <c r="AP10" s="1" t="str">
        <f>""</f>
        <v/>
      </c>
      <c r="AQ10" s="1" t="str">
        <f>""</f>
        <v/>
      </c>
      <c r="AR10" s="1" t="str">
        <f>""</f>
        <v/>
      </c>
      <c r="AS10" s="1" t="str">
        <f>""</f>
        <v/>
      </c>
      <c r="AT10" s="1" t="str">
        <f>""</f>
        <v/>
      </c>
      <c r="AU10" s="1" t="str">
        <f>""</f>
        <v/>
      </c>
      <c r="AV10" s="1" t="str">
        <f>""</f>
        <v/>
      </c>
      <c r="AW10" s="1" t="str">
        <f>""</f>
        <v/>
      </c>
      <c r="AX10" s="1" t="str">
        <f>""</f>
        <v/>
      </c>
      <c r="AY10" s="1" t="str">
        <f>""</f>
        <v/>
      </c>
      <c r="AZ10" s="1" t="str">
        <f>""</f>
        <v/>
      </c>
      <c r="BA10" s="1" t="str">
        <f>""</f>
        <v/>
      </c>
    </row>
    <row r="11" spans="1:53" x14ac:dyDescent="0.25">
      <c r="A11" s="1" t="str">
        <f>""</f>
        <v/>
      </c>
      <c r="B11" s="1" t="str">
        <f>""</f>
        <v/>
      </c>
      <c r="C11" s="1" t="str">
        <f>"(0.132)"</f>
        <v>(0.132)</v>
      </c>
      <c r="D11" s="1" t="str">
        <f>""</f>
        <v/>
      </c>
      <c r="E11" s="1" t="str">
        <f>"(0.575)"</f>
        <v>(0.575)</v>
      </c>
      <c r="F11" s="1" t="str">
        <f>""</f>
        <v/>
      </c>
      <c r="G11" s="1" t="str">
        <f>"(0.137)"</f>
        <v>(0.137)</v>
      </c>
      <c r="H11" s="1" t="str">
        <f>""</f>
        <v/>
      </c>
      <c r="I11" s="1" t="str">
        <f>"(0.535)"</f>
        <v>(0.535)</v>
      </c>
      <c r="J11" s="1" t="str">
        <f>""</f>
        <v/>
      </c>
      <c r="K11" s="1" t="str">
        <f>"(0.528)"</f>
        <v>(0.528)</v>
      </c>
      <c r="L11" s="1" t="str">
        <f>""</f>
        <v/>
      </c>
      <c r="M11" s="1" t="str">
        <f>"(0.140)"</f>
        <v>(0.140)</v>
      </c>
      <c r="N11" s="1" t="str">
        <f>""</f>
        <v/>
      </c>
      <c r="O11" s="1" t="str">
        <f>"(0.576)"</f>
        <v>(0.576)</v>
      </c>
      <c r="P11" s="1" t="str">
        <f>""</f>
        <v/>
      </c>
      <c r="Q11" s="1" t="str">
        <f>"(98.859)"</f>
        <v>(98.859)</v>
      </c>
      <c r="R11" s="1" t="str">
        <f>""</f>
        <v/>
      </c>
      <c r="S11" s="1" t="str">
        <f>"(3.710)"</f>
        <v>(3.710)</v>
      </c>
      <c r="T11" s="1" t="str">
        <f>""</f>
        <v/>
      </c>
      <c r="U11" s="1" t="str">
        <f>""</f>
        <v/>
      </c>
      <c r="V11" s="1" t="str">
        <f>""</f>
        <v/>
      </c>
      <c r="W11" s="1" t="str">
        <f>""</f>
        <v/>
      </c>
      <c r="X11" s="1" t="str">
        <f>""</f>
        <v/>
      </c>
      <c r="Y11" s="1" t="str">
        <f>""</f>
        <v/>
      </c>
      <c r="Z11" s="1" t="str">
        <f>""</f>
        <v/>
      </c>
      <c r="AA11" s="1" t="str">
        <f>""</f>
        <v/>
      </c>
      <c r="AB11" s="1" t="str">
        <f>""</f>
        <v/>
      </c>
      <c r="AC11" s="1" t="str">
        <f>""</f>
        <v/>
      </c>
      <c r="AD11" s="1" t="str">
        <f>""</f>
        <v/>
      </c>
      <c r="AE11" s="1" t="str">
        <f>""</f>
        <v/>
      </c>
      <c r="AF11" s="1" t="str">
        <f>""</f>
        <v/>
      </c>
      <c r="AG11" s="1" t="str">
        <f>""</f>
        <v/>
      </c>
      <c r="AH11" s="1" t="str">
        <f>""</f>
        <v/>
      </c>
      <c r="AI11" s="1" t="str">
        <f>""</f>
        <v/>
      </c>
      <c r="AJ11" s="1" t="str">
        <f>""</f>
        <v/>
      </c>
      <c r="AK11" s="1" t="str">
        <f>""</f>
        <v/>
      </c>
      <c r="AL11" s="1" t="str">
        <f>""</f>
        <v/>
      </c>
      <c r="AM11" s="1" t="str">
        <f>""</f>
        <v/>
      </c>
      <c r="AN11" s="1" t="str">
        <f>""</f>
        <v/>
      </c>
      <c r="AO11" s="1" t="str">
        <f>""</f>
        <v/>
      </c>
      <c r="AP11" s="1" t="str">
        <f>""</f>
        <v/>
      </c>
      <c r="AQ11" s="1" t="str">
        <f>""</f>
        <v/>
      </c>
      <c r="AR11" s="1" t="str">
        <f>""</f>
        <v/>
      </c>
      <c r="AS11" s="1" t="str">
        <f>""</f>
        <v/>
      </c>
      <c r="AT11" s="1" t="str">
        <f>""</f>
        <v/>
      </c>
      <c r="AU11" s="1" t="str">
        <f>""</f>
        <v/>
      </c>
      <c r="AV11" s="1" t="str">
        <f>""</f>
        <v/>
      </c>
      <c r="AW11" s="1" t="str">
        <f>""</f>
        <v/>
      </c>
      <c r="AX11" s="1" t="str">
        <f>""</f>
        <v/>
      </c>
      <c r="AY11" s="1" t="str">
        <f>""</f>
        <v/>
      </c>
      <c r="AZ11" s="1" t="str">
        <f>""</f>
        <v/>
      </c>
      <c r="BA11" s="1" t="str">
        <f>""</f>
        <v/>
      </c>
    </row>
    <row r="12" spans="1:53" x14ac:dyDescent="0.25">
      <c r="A12" s="1" t="str">
        <f>"Responsiveness x Hispanic"</f>
        <v>Responsiveness x Hispanic</v>
      </c>
      <c r="B12" s="1" t="str">
        <f>""</f>
        <v/>
      </c>
      <c r="C12" s="1" t="str">
        <f>"1.377"</f>
        <v>1.377</v>
      </c>
      <c r="D12" s="1" t="str">
        <f>""</f>
        <v/>
      </c>
      <c r="E12" s="1" t="str">
        <f>"0.704"</f>
        <v>0.704</v>
      </c>
      <c r="F12" s="1" t="str">
        <f>""</f>
        <v/>
      </c>
      <c r="G12" s="1" t="str">
        <f>"0.999"</f>
        <v>0.999</v>
      </c>
      <c r="H12" s="1" t="str">
        <f>""</f>
        <v/>
      </c>
      <c r="I12" s="1" t="str">
        <f>"2.167"</f>
        <v>2.167</v>
      </c>
      <c r="J12" s="1" t="str">
        <f>""</f>
        <v/>
      </c>
      <c r="K12" s="1" t="str">
        <f>"0.230*"</f>
        <v>0.230*</v>
      </c>
      <c r="L12" s="1" t="str">
        <f>""</f>
        <v/>
      </c>
      <c r="M12" s="1" t="str">
        <f>"1.275"</f>
        <v>1.275</v>
      </c>
      <c r="N12" s="1" t="str">
        <f>""</f>
        <v/>
      </c>
      <c r="O12" s="1" t="str">
        <f>"2.021"</f>
        <v>2.021</v>
      </c>
      <c r="P12" s="1" t="str">
        <f>""</f>
        <v/>
      </c>
      <c r="Q12" s="1" t="str">
        <f>"49.411*"</f>
        <v>49.411*</v>
      </c>
      <c r="R12" s="1" t="str">
        <f>""</f>
        <v/>
      </c>
      <c r="S12" s="1" t="str">
        <f>"4.732**"</f>
        <v>4.732**</v>
      </c>
      <c r="T12" s="1" t="str">
        <f>""</f>
        <v/>
      </c>
      <c r="U12" s="1" t="str">
        <f>""</f>
        <v/>
      </c>
      <c r="V12" s="1" t="str">
        <f>""</f>
        <v/>
      </c>
      <c r="W12" s="1" t="str">
        <f>""</f>
        <v/>
      </c>
      <c r="X12" s="1" t="str">
        <f>""</f>
        <v/>
      </c>
      <c r="Y12" s="1" t="str">
        <f>""</f>
        <v/>
      </c>
      <c r="Z12" s="1" t="str">
        <f>""</f>
        <v/>
      </c>
      <c r="AA12" s="1" t="str">
        <f>""</f>
        <v/>
      </c>
      <c r="AB12" s="1" t="str">
        <f>""</f>
        <v/>
      </c>
      <c r="AC12" s="1" t="str">
        <f>""</f>
        <v/>
      </c>
      <c r="AD12" s="1" t="str">
        <f>""</f>
        <v/>
      </c>
      <c r="AE12" s="1" t="str">
        <f>""</f>
        <v/>
      </c>
      <c r="AF12" s="1" t="str">
        <f>""</f>
        <v/>
      </c>
      <c r="AG12" s="1" t="str">
        <f>""</f>
        <v/>
      </c>
      <c r="AH12" s="1" t="str">
        <f>""</f>
        <v/>
      </c>
      <c r="AI12" s="1" t="str">
        <f>""</f>
        <v/>
      </c>
      <c r="AJ12" s="1" t="str">
        <f>""</f>
        <v/>
      </c>
      <c r="AK12" s="1" t="str">
        <f>""</f>
        <v/>
      </c>
      <c r="AL12" s="1" t="str">
        <f>""</f>
        <v/>
      </c>
      <c r="AM12" s="1" t="str">
        <f>""</f>
        <v/>
      </c>
      <c r="AN12" s="1" t="str">
        <f>""</f>
        <v/>
      </c>
      <c r="AO12" s="1" t="str">
        <f>""</f>
        <v/>
      </c>
      <c r="AP12" s="1" t="str">
        <f>""</f>
        <v/>
      </c>
      <c r="AQ12" s="1" t="str">
        <f>""</f>
        <v/>
      </c>
      <c r="AR12" s="1" t="str">
        <f>""</f>
        <v/>
      </c>
      <c r="AS12" s="1" t="str">
        <f>""</f>
        <v/>
      </c>
      <c r="AT12" s="1" t="str">
        <f>""</f>
        <v/>
      </c>
      <c r="AU12" s="1" t="str">
        <f>""</f>
        <v/>
      </c>
      <c r="AV12" s="1" t="str">
        <f>""</f>
        <v/>
      </c>
      <c r="AW12" s="1" t="str">
        <f>""</f>
        <v/>
      </c>
      <c r="AX12" s="1" t="str">
        <f>""</f>
        <v/>
      </c>
      <c r="AY12" s="1" t="str">
        <f>""</f>
        <v/>
      </c>
      <c r="AZ12" s="1" t="str">
        <f>""</f>
        <v/>
      </c>
      <c r="BA12" s="1" t="str">
        <f>""</f>
        <v/>
      </c>
    </row>
    <row r="13" spans="1:53" x14ac:dyDescent="0.25">
      <c r="A13" s="1" t="str">
        <f>""</f>
        <v/>
      </c>
      <c r="B13" s="1" t="str">
        <f>""</f>
        <v/>
      </c>
      <c r="C13" s="1" t="str">
        <f>"(1.062)"</f>
        <v>(1.062)</v>
      </c>
      <c r="D13" s="1" t="str">
        <f>""</f>
        <v/>
      </c>
      <c r="E13" s="1" t="str">
        <f>"(0.477)"</f>
        <v>(0.477)</v>
      </c>
      <c r="F13" s="1" t="str">
        <f>""</f>
        <v/>
      </c>
      <c r="G13" s="1" t="str">
        <f>"(0.619)"</f>
        <v>(0.619)</v>
      </c>
      <c r="H13" s="1" t="str">
        <f>""</f>
        <v/>
      </c>
      <c r="I13" s="1" t="str">
        <f>"(1.538)"</f>
        <v>(1.538)</v>
      </c>
      <c r="J13" s="1" t="str">
        <f>""</f>
        <v/>
      </c>
      <c r="K13" s="1" t="str">
        <f>"(0.133)"</f>
        <v>(0.133)</v>
      </c>
      <c r="L13" s="1" t="str">
        <f>""</f>
        <v/>
      </c>
      <c r="M13" s="1" t="str">
        <f>"(1.448)"</f>
        <v>(1.448)</v>
      </c>
      <c r="N13" s="1" t="str">
        <f>""</f>
        <v/>
      </c>
      <c r="O13" s="1" t="str">
        <f>"(1.559)"</f>
        <v>(1.559)</v>
      </c>
      <c r="P13" s="1" t="str">
        <f>""</f>
        <v/>
      </c>
      <c r="Q13" s="1" t="str">
        <f>"(83.134)"</f>
        <v>(83.134)</v>
      </c>
      <c r="R13" s="1" t="str">
        <f>""</f>
        <v/>
      </c>
      <c r="S13" s="1" t="str">
        <f>"(2.550)"</f>
        <v>(2.550)</v>
      </c>
      <c r="T13" s="1" t="str">
        <f>""</f>
        <v/>
      </c>
      <c r="U13" s="1" t="str">
        <f>""</f>
        <v/>
      </c>
      <c r="V13" s="1" t="str">
        <f>""</f>
        <v/>
      </c>
      <c r="W13" s="1" t="str">
        <f>""</f>
        <v/>
      </c>
      <c r="X13" s="1" t="str">
        <f>""</f>
        <v/>
      </c>
      <c r="Y13" s="1" t="str">
        <f>""</f>
        <v/>
      </c>
      <c r="Z13" s="1" t="str">
        <f>""</f>
        <v/>
      </c>
      <c r="AA13" s="1" t="str">
        <f>""</f>
        <v/>
      </c>
      <c r="AB13" s="1" t="str">
        <f>""</f>
        <v/>
      </c>
      <c r="AC13" s="1" t="str">
        <f>""</f>
        <v/>
      </c>
      <c r="AD13" s="1" t="str">
        <f>""</f>
        <v/>
      </c>
      <c r="AE13" s="1" t="str">
        <f>""</f>
        <v/>
      </c>
      <c r="AF13" s="1" t="str">
        <f>""</f>
        <v/>
      </c>
      <c r="AG13" s="1" t="str">
        <f>""</f>
        <v/>
      </c>
      <c r="AH13" s="1" t="str">
        <f>""</f>
        <v/>
      </c>
      <c r="AI13" s="1" t="str">
        <f>""</f>
        <v/>
      </c>
      <c r="AJ13" s="1" t="str">
        <f>""</f>
        <v/>
      </c>
      <c r="AK13" s="1" t="str">
        <f>""</f>
        <v/>
      </c>
      <c r="AL13" s="1" t="str">
        <f>""</f>
        <v/>
      </c>
      <c r="AM13" s="1" t="str">
        <f>""</f>
        <v/>
      </c>
      <c r="AN13" s="1" t="str">
        <f>""</f>
        <v/>
      </c>
      <c r="AO13" s="1" t="str">
        <f>""</f>
        <v/>
      </c>
      <c r="AP13" s="1" t="str">
        <f>""</f>
        <v/>
      </c>
      <c r="AQ13" s="1" t="str">
        <f>""</f>
        <v/>
      </c>
      <c r="AR13" s="1" t="str">
        <f>""</f>
        <v/>
      </c>
      <c r="AS13" s="1" t="str">
        <f>""</f>
        <v/>
      </c>
      <c r="AT13" s="1" t="str">
        <f>""</f>
        <v/>
      </c>
      <c r="AU13" s="1" t="str">
        <f>""</f>
        <v/>
      </c>
      <c r="AV13" s="1" t="str">
        <f>""</f>
        <v/>
      </c>
      <c r="AW13" s="1" t="str">
        <f>""</f>
        <v/>
      </c>
      <c r="AX13" s="1" t="str">
        <f>""</f>
        <v/>
      </c>
      <c r="AY13" s="1" t="str">
        <f>""</f>
        <v/>
      </c>
      <c r="AZ13" s="1" t="str">
        <f>""</f>
        <v/>
      </c>
      <c r="BA13" s="1" t="str">
        <f>""</f>
        <v/>
      </c>
    </row>
    <row r="14" spans="1:53" x14ac:dyDescent="0.25">
      <c r="A14" s="1" t="str">
        <f>"Demandness x Black"</f>
        <v>Demandness x Black</v>
      </c>
      <c r="B14" s="1" t="str">
        <f>""</f>
        <v/>
      </c>
      <c r="C14" s="1" t="str">
        <f>""</f>
        <v/>
      </c>
      <c r="D14" s="1" t="str">
        <f>""</f>
        <v/>
      </c>
      <c r="E14" s="1" t="str">
        <f>""</f>
        <v/>
      </c>
      <c r="F14" s="1" t="str">
        <f>""</f>
        <v/>
      </c>
      <c r="G14" s="1" t="str">
        <f>""</f>
        <v/>
      </c>
      <c r="H14" s="1" t="str">
        <f>""</f>
        <v/>
      </c>
      <c r="I14" s="1" t="str">
        <f>""</f>
        <v/>
      </c>
      <c r="J14" s="1" t="str">
        <f>""</f>
        <v/>
      </c>
      <c r="K14" s="1" t="str">
        <f>""</f>
        <v/>
      </c>
      <c r="L14" s="1" t="str">
        <f>""</f>
        <v/>
      </c>
      <c r="M14" s="1" t="str">
        <f>""</f>
        <v/>
      </c>
      <c r="N14" s="1" t="str">
        <f>""</f>
        <v/>
      </c>
      <c r="O14" s="1" t="str">
        <f>""</f>
        <v/>
      </c>
      <c r="P14" s="1" t="str">
        <f>""</f>
        <v/>
      </c>
      <c r="Q14" s="1" t="str">
        <f>""</f>
        <v/>
      </c>
      <c r="R14" s="1" t="str">
        <f>""</f>
        <v/>
      </c>
      <c r="S14" s="1" t="str">
        <f>""</f>
        <v/>
      </c>
      <c r="T14" s="1" t="str">
        <f>""</f>
        <v/>
      </c>
      <c r="U14" s="1" t="str">
        <f>"1.078"</f>
        <v>1.078</v>
      </c>
      <c r="V14" s="1" t="str">
        <f>""</f>
        <v/>
      </c>
      <c r="W14" s="1" t="str">
        <f>"0.706"</f>
        <v>0.706</v>
      </c>
      <c r="X14" s="1" t="str">
        <f>""</f>
        <v/>
      </c>
      <c r="Y14" s="1" t="str">
        <f>"0.592"</f>
        <v>0.592</v>
      </c>
      <c r="Z14" s="1" t="str">
        <f>""</f>
        <v/>
      </c>
      <c r="AA14" s="1" t="str">
        <f>"0.443*"</f>
        <v>0.443*</v>
      </c>
      <c r="AB14" s="1" t="str">
        <f>""</f>
        <v/>
      </c>
      <c r="AC14" s="1" t="str">
        <f>"0.214***"</f>
        <v>0.214***</v>
      </c>
      <c r="AD14" s="1" t="str">
        <f>""</f>
        <v/>
      </c>
      <c r="AE14" s="1" t="str">
        <f>"0.190***"</f>
        <v>0.190***</v>
      </c>
      <c r="AF14" s="1" t="str">
        <f>""</f>
        <v/>
      </c>
      <c r="AG14" s="1" t="str">
        <f>""</f>
        <v/>
      </c>
      <c r="AH14" s="1" t="str">
        <f>""</f>
        <v/>
      </c>
      <c r="AI14" s="1" t="str">
        <f>""</f>
        <v/>
      </c>
      <c r="AJ14" s="1" t="str">
        <f>""</f>
        <v/>
      </c>
      <c r="AK14" s="1" t="str">
        <f>""</f>
        <v/>
      </c>
      <c r="AL14" s="1" t="str">
        <f>""</f>
        <v/>
      </c>
      <c r="AM14" s="1" t="str">
        <f>""</f>
        <v/>
      </c>
      <c r="AN14" s="1" t="str">
        <f>""</f>
        <v/>
      </c>
      <c r="AO14" s="1" t="str">
        <f>""</f>
        <v/>
      </c>
      <c r="AP14" s="1" t="str">
        <f>""</f>
        <v/>
      </c>
      <c r="AQ14" s="1" t="str">
        <f>""</f>
        <v/>
      </c>
      <c r="AR14" s="1" t="str">
        <f>""</f>
        <v/>
      </c>
      <c r="AS14" s="1" t="str">
        <f>""</f>
        <v/>
      </c>
      <c r="AT14" s="1" t="str">
        <f>""</f>
        <v/>
      </c>
      <c r="AU14" s="1" t="str">
        <f>""</f>
        <v/>
      </c>
      <c r="AV14" s="1" t="str">
        <f>""</f>
        <v/>
      </c>
      <c r="AW14" s="1" t="str">
        <f>""</f>
        <v/>
      </c>
      <c r="AX14" s="1" t="str">
        <f>""</f>
        <v/>
      </c>
      <c r="AY14" s="1" t="str">
        <f>""</f>
        <v/>
      </c>
      <c r="AZ14" s="1" t="str">
        <f>""</f>
        <v/>
      </c>
      <c r="BA14" s="1" t="str">
        <f>""</f>
        <v/>
      </c>
    </row>
    <row r="15" spans="1:53" x14ac:dyDescent="0.25">
      <c r="A15" s="1" t="str">
        <f>""</f>
        <v/>
      </c>
      <c r="B15" s="1" t="str">
        <f>""</f>
        <v/>
      </c>
      <c r="C15" s="1" t="str">
        <f>""</f>
        <v/>
      </c>
      <c r="D15" s="1" t="str">
        <f>""</f>
        <v/>
      </c>
      <c r="E15" s="1" t="str">
        <f>""</f>
        <v/>
      </c>
      <c r="F15" s="1" t="str">
        <f>""</f>
        <v/>
      </c>
      <c r="G15" s="1" t="str">
        <f>""</f>
        <v/>
      </c>
      <c r="H15" s="1" t="str">
        <f>""</f>
        <v/>
      </c>
      <c r="I15" s="1" t="str">
        <f>""</f>
        <v/>
      </c>
      <c r="J15" s="1" t="str">
        <f>""</f>
        <v/>
      </c>
      <c r="K15" s="1" t="str">
        <f>""</f>
        <v/>
      </c>
      <c r="L15" s="1" t="str">
        <f>""</f>
        <v/>
      </c>
      <c r="M15" s="1" t="str">
        <f>""</f>
        <v/>
      </c>
      <c r="N15" s="1" t="str">
        <f>""</f>
        <v/>
      </c>
      <c r="O15" s="1" t="str">
        <f>""</f>
        <v/>
      </c>
      <c r="P15" s="1" t="str">
        <f>""</f>
        <v/>
      </c>
      <c r="Q15" s="1" t="str">
        <f>""</f>
        <v/>
      </c>
      <c r="R15" s="1" t="str">
        <f>""</f>
        <v/>
      </c>
      <c r="S15" s="1" t="str">
        <f>""</f>
        <v/>
      </c>
      <c r="T15" s="1" t="str">
        <f>""</f>
        <v/>
      </c>
      <c r="U15" s="1" t="str">
        <f>"(0.445)"</f>
        <v>(0.445)</v>
      </c>
      <c r="V15" s="1" t="str">
        <f>""</f>
        <v/>
      </c>
      <c r="W15" s="1" t="str">
        <f>"(0.353)"</f>
        <v>(0.353)</v>
      </c>
      <c r="X15" s="1" t="str">
        <f>""</f>
        <v/>
      </c>
      <c r="Y15" s="1" t="str">
        <f>"(0.236)"</f>
        <v>(0.236)</v>
      </c>
      <c r="Z15" s="1" t="str">
        <f>""</f>
        <v/>
      </c>
      <c r="AA15" s="1" t="str">
        <f>"(0.141)"</f>
        <v>(0.141)</v>
      </c>
      <c r="AB15" s="1" t="str">
        <f>""</f>
        <v/>
      </c>
      <c r="AC15" s="1" t="str">
        <f>"(0.058)"</f>
        <v>(0.058)</v>
      </c>
      <c r="AD15" s="1" t="str">
        <f>""</f>
        <v/>
      </c>
      <c r="AE15" s="1" t="str">
        <f>"(0.055)"</f>
        <v>(0.055)</v>
      </c>
      <c r="AF15" s="1" t="str">
        <f>""</f>
        <v/>
      </c>
      <c r="AG15" s="1" t="str">
        <f>""</f>
        <v/>
      </c>
      <c r="AH15" s="1" t="str">
        <f>""</f>
        <v/>
      </c>
      <c r="AI15" s="1" t="str">
        <f>""</f>
        <v/>
      </c>
      <c r="AJ15" s="1" t="str">
        <f>""</f>
        <v/>
      </c>
      <c r="AK15" s="1" t="str">
        <f>""</f>
        <v/>
      </c>
      <c r="AL15" s="1" t="str">
        <f>""</f>
        <v/>
      </c>
      <c r="AM15" s="1" t="str">
        <f>""</f>
        <v/>
      </c>
      <c r="AN15" s="1" t="str">
        <f>""</f>
        <v/>
      </c>
      <c r="AO15" s="1" t="str">
        <f>""</f>
        <v/>
      </c>
      <c r="AP15" s="1" t="str">
        <f>""</f>
        <v/>
      </c>
      <c r="AQ15" s="1" t="str">
        <f>""</f>
        <v/>
      </c>
      <c r="AR15" s="1" t="str">
        <f>""</f>
        <v/>
      </c>
      <c r="AS15" s="1" t="str">
        <f>""</f>
        <v/>
      </c>
      <c r="AT15" s="1" t="str">
        <f>""</f>
        <v/>
      </c>
      <c r="AU15" s="1" t="str">
        <f>""</f>
        <v/>
      </c>
      <c r="AV15" s="1" t="str">
        <f>""</f>
        <v/>
      </c>
      <c r="AW15" s="1" t="str">
        <f>""</f>
        <v/>
      </c>
      <c r="AX15" s="1" t="str">
        <f>""</f>
        <v/>
      </c>
      <c r="AY15" s="1" t="str">
        <f>""</f>
        <v/>
      </c>
      <c r="AZ15" s="1" t="str">
        <f>""</f>
        <v/>
      </c>
      <c r="BA15" s="1" t="str">
        <f>""</f>
        <v/>
      </c>
    </row>
    <row r="16" spans="1:53" x14ac:dyDescent="0.25">
      <c r="A16" s="1" t="str">
        <f>"Demandness x Hispanic"</f>
        <v>Demandness x Hispanic</v>
      </c>
      <c r="B16" s="1" t="str">
        <f>""</f>
        <v/>
      </c>
      <c r="C16" s="1" t="str">
        <f>""</f>
        <v/>
      </c>
      <c r="D16" s="1" t="str">
        <f>""</f>
        <v/>
      </c>
      <c r="E16" s="1" t="str">
        <f>""</f>
        <v/>
      </c>
      <c r="F16" s="1" t="str">
        <f>""</f>
        <v/>
      </c>
      <c r="G16" s="1" t="str">
        <f>""</f>
        <v/>
      </c>
      <c r="H16" s="1" t="str">
        <f>""</f>
        <v/>
      </c>
      <c r="I16" s="1" t="str">
        <f>""</f>
        <v/>
      </c>
      <c r="J16" s="1" t="str">
        <f>""</f>
        <v/>
      </c>
      <c r="K16" s="1" t="str">
        <f>""</f>
        <v/>
      </c>
      <c r="L16" s="1" t="str">
        <f>""</f>
        <v/>
      </c>
      <c r="M16" s="1" t="str">
        <f>""</f>
        <v/>
      </c>
      <c r="N16" s="1" t="str">
        <f>""</f>
        <v/>
      </c>
      <c r="O16" s="1" t="str">
        <f>""</f>
        <v/>
      </c>
      <c r="P16" s="1" t="str">
        <f>""</f>
        <v/>
      </c>
      <c r="Q16" s="1" t="str">
        <f>""</f>
        <v/>
      </c>
      <c r="R16" s="1" t="str">
        <f>""</f>
        <v/>
      </c>
      <c r="S16" s="1" t="str">
        <f>""</f>
        <v/>
      </c>
      <c r="T16" s="1" t="str">
        <f>""</f>
        <v/>
      </c>
      <c r="U16" s="1" t="str">
        <f>"0.183***"</f>
        <v>0.183***</v>
      </c>
      <c r="V16" s="1" t="str">
        <f>""</f>
        <v/>
      </c>
      <c r="W16" s="1" t="str">
        <f>"1.430"</f>
        <v>1.430</v>
      </c>
      <c r="X16" s="1" t="str">
        <f>""</f>
        <v/>
      </c>
      <c r="Y16" s="1" t="str">
        <f>"3.644"</f>
        <v>3.644</v>
      </c>
      <c r="Z16" s="1" t="str">
        <f>""</f>
        <v/>
      </c>
      <c r="AA16" s="1" t="str">
        <f>"1.647"</f>
        <v>1.647</v>
      </c>
      <c r="AB16" s="1" t="str">
        <f>""</f>
        <v/>
      </c>
      <c r="AC16" s="1" t="str">
        <f>"0.598"</f>
        <v>0.598</v>
      </c>
      <c r="AD16" s="1" t="str">
        <f>""</f>
        <v/>
      </c>
      <c r="AE16" s="1" t="str">
        <f>"0.408***"</f>
        <v>0.408***</v>
      </c>
      <c r="AF16" s="1" t="str">
        <f>""</f>
        <v/>
      </c>
      <c r="AG16" s="1" t="str">
        <f>""</f>
        <v/>
      </c>
      <c r="AH16" s="1" t="str">
        <f>""</f>
        <v/>
      </c>
      <c r="AI16" s="1" t="str">
        <f>""</f>
        <v/>
      </c>
      <c r="AJ16" s="1" t="str">
        <f>""</f>
        <v/>
      </c>
      <c r="AK16" s="1" t="str">
        <f>""</f>
        <v/>
      </c>
      <c r="AL16" s="1" t="str">
        <f>""</f>
        <v/>
      </c>
      <c r="AM16" s="1" t="str">
        <f>""</f>
        <v/>
      </c>
      <c r="AN16" s="1" t="str">
        <f>""</f>
        <v/>
      </c>
      <c r="AO16" s="1" t="str">
        <f>""</f>
        <v/>
      </c>
      <c r="AP16" s="1" t="str">
        <f>""</f>
        <v/>
      </c>
      <c r="AQ16" s="1" t="str">
        <f>""</f>
        <v/>
      </c>
      <c r="AR16" s="1" t="str">
        <f>""</f>
        <v/>
      </c>
      <c r="AS16" s="1" t="str">
        <f>""</f>
        <v/>
      </c>
      <c r="AT16" s="1" t="str">
        <f>""</f>
        <v/>
      </c>
      <c r="AU16" s="1" t="str">
        <f>""</f>
        <v/>
      </c>
      <c r="AV16" s="1" t="str">
        <f>""</f>
        <v/>
      </c>
      <c r="AW16" s="1" t="str">
        <f>""</f>
        <v/>
      </c>
      <c r="AX16" s="1" t="str">
        <f>""</f>
        <v/>
      </c>
      <c r="AY16" s="1" t="str">
        <f>""</f>
        <v/>
      </c>
      <c r="AZ16" s="1" t="str">
        <f>""</f>
        <v/>
      </c>
      <c r="BA16" s="1" t="str">
        <f>""</f>
        <v/>
      </c>
    </row>
    <row r="17" spans="1:53" x14ac:dyDescent="0.25">
      <c r="A17" s="1" t="str">
        <f>""</f>
        <v/>
      </c>
      <c r="B17" s="1" t="str">
        <f>""</f>
        <v/>
      </c>
      <c r="C17" s="1" t="str">
        <f>""</f>
        <v/>
      </c>
      <c r="D17" s="1" t="str">
        <f>""</f>
        <v/>
      </c>
      <c r="E17" s="1" t="str">
        <f>""</f>
        <v/>
      </c>
      <c r="F17" s="1" t="str">
        <f>""</f>
        <v/>
      </c>
      <c r="G17" s="1" t="str">
        <f>""</f>
        <v/>
      </c>
      <c r="H17" s="1" t="str">
        <f>""</f>
        <v/>
      </c>
      <c r="I17" s="1" t="str">
        <f>""</f>
        <v/>
      </c>
      <c r="J17" s="1" t="str">
        <f>""</f>
        <v/>
      </c>
      <c r="K17" s="1" t="str">
        <f>""</f>
        <v/>
      </c>
      <c r="L17" s="1" t="str">
        <f>""</f>
        <v/>
      </c>
      <c r="M17" s="1" t="str">
        <f>""</f>
        <v/>
      </c>
      <c r="N17" s="1" t="str">
        <f>""</f>
        <v/>
      </c>
      <c r="O17" s="1" t="str">
        <f>""</f>
        <v/>
      </c>
      <c r="P17" s="1" t="str">
        <f>""</f>
        <v/>
      </c>
      <c r="Q17" s="1" t="str">
        <f>""</f>
        <v/>
      </c>
      <c r="R17" s="1" t="str">
        <f>""</f>
        <v/>
      </c>
      <c r="S17" s="1" t="str">
        <f>""</f>
        <v/>
      </c>
      <c r="T17" s="1" t="str">
        <f>""</f>
        <v/>
      </c>
      <c r="U17" s="1" t="str">
        <f>"(0.068)"</f>
        <v>(0.068)</v>
      </c>
      <c r="V17" s="1" t="str">
        <f>""</f>
        <v/>
      </c>
      <c r="W17" s="1" t="str">
        <f>"(0.673)"</f>
        <v>(0.673)</v>
      </c>
      <c r="X17" s="1" t="str">
        <f>""</f>
        <v/>
      </c>
      <c r="Y17" s="1" t="str">
        <f>"(2.485)"</f>
        <v>(2.485)</v>
      </c>
      <c r="Z17" s="1" t="str">
        <f>""</f>
        <v/>
      </c>
      <c r="AA17" s="1" t="str">
        <f>"(0.780)"</f>
        <v>(0.780)</v>
      </c>
      <c r="AB17" s="1" t="str">
        <f>""</f>
        <v/>
      </c>
      <c r="AC17" s="1" t="str">
        <f>"(0.194)"</f>
        <v>(0.194)</v>
      </c>
      <c r="AD17" s="1" t="str">
        <f>""</f>
        <v/>
      </c>
      <c r="AE17" s="1" t="str">
        <f>"(0.111)"</f>
        <v>(0.111)</v>
      </c>
      <c r="AF17" s="1" t="str">
        <f>""</f>
        <v/>
      </c>
      <c r="AG17" s="1" t="str">
        <f>""</f>
        <v/>
      </c>
      <c r="AH17" s="1" t="str">
        <f>""</f>
        <v/>
      </c>
      <c r="AI17" s="1" t="str">
        <f>""</f>
        <v/>
      </c>
      <c r="AJ17" s="1" t="str">
        <f>""</f>
        <v/>
      </c>
      <c r="AK17" s="1" t="str">
        <f>""</f>
        <v/>
      </c>
      <c r="AL17" s="1" t="str">
        <f>""</f>
        <v/>
      </c>
      <c r="AM17" s="1" t="str">
        <f>""</f>
        <v/>
      </c>
      <c r="AN17" s="1" t="str">
        <f>""</f>
        <v/>
      </c>
      <c r="AO17" s="1" t="str">
        <f>""</f>
        <v/>
      </c>
      <c r="AP17" s="1" t="str">
        <f>""</f>
        <v/>
      </c>
      <c r="AQ17" s="1" t="str">
        <f>""</f>
        <v/>
      </c>
      <c r="AR17" s="1" t="str">
        <f>""</f>
        <v/>
      </c>
      <c r="AS17" s="1" t="str">
        <f>""</f>
        <v/>
      </c>
      <c r="AT17" s="1" t="str">
        <f>""</f>
        <v/>
      </c>
      <c r="AU17" s="1" t="str">
        <f>""</f>
        <v/>
      </c>
      <c r="AV17" s="1" t="str">
        <f>""</f>
        <v/>
      </c>
      <c r="AW17" s="1" t="str">
        <f>""</f>
        <v/>
      </c>
      <c r="AX17" s="1" t="str">
        <f>""</f>
        <v/>
      </c>
      <c r="AY17" s="1" t="str">
        <f>""</f>
        <v/>
      </c>
      <c r="AZ17" s="1" t="str">
        <f>""</f>
        <v/>
      </c>
      <c r="BA17" s="1" t="str">
        <f>""</f>
        <v/>
      </c>
    </row>
    <row r="18" spans="1:53" x14ac:dyDescent="0.25">
      <c r="A18" s="1" t="str">
        <f>"Relationship Quality x Black"</f>
        <v>Relationship Quality x Black</v>
      </c>
      <c r="B18" s="1" t="str">
        <f>""</f>
        <v/>
      </c>
      <c r="C18" s="1" t="str">
        <f>""</f>
        <v/>
      </c>
      <c r="D18" s="1" t="str">
        <f>""</f>
        <v/>
      </c>
      <c r="E18" s="1" t="str">
        <f>""</f>
        <v/>
      </c>
      <c r="F18" s="1" t="str">
        <f>""</f>
        <v/>
      </c>
      <c r="G18" s="1" t="str">
        <f>""</f>
        <v/>
      </c>
      <c r="H18" s="1" t="str">
        <f>""</f>
        <v/>
      </c>
      <c r="I18" s="1" t="str">
        <f>""</f>
        <v/>
      </c>
      <c r="J18" s="1" t="str">
        <f>""</f>
        <v/>
      </c>
      <c r="K18" s="1" t="str">
        <f>""</f>
        <v/>
      </c>
      <c r="L18" s="1" t="str">
        <f>""</f>
        <v/>
      </c>
      <c r="M18" s="1" t="str">
        <f>""</f>
        <v/>
      </c>
      <c r="N18" s="1" t="str">
        <f>""</f>
        <v/>
      </c>
      <c r="O18" s="1" t="str">
        <f>""</f>
        <v/>
      </c>
      <c r="P18" s="1" t="str">
        <f>""</f>
        <v/>
      </c>
      <c r="Q18" s="1" t="str">
        <f>""</f>
        <v/>
      </c>
      <c r="R18" s="1" t="str">
        <f>""</f>
        <v/>
      </c>
      <c r="S18" s="1" t="str">
        <f>""</f>
        <v/>
      </c>
      <c r="T18" s="1" t="str">
        <f>""</f>
        <v/>
      </c>
      <c r="U18" s="1" t="str">
        <f>""</f>
        <v/>
      </c>
      <c r="V18" s="1" t="str">
        <f>""</f>
        <v/>
      </c>
      <c r="W18" s="1" t="str">
        <f>""</f>
        <v/>
      </c>
      <c r="X18" s="1" t="str">
        <f>""</f>
        <v/>
      </c>
      <c r="Y18" s="1" t="str">
        <f>""</f>
        <v/>
      </c>
      <c r="Z18" s="1" t="str">
        <f>""</f>
        <v/>
      </c>
      <c r="AA18" s="1" t="str">
        <f>""</f>
        <v/>
      </c>
      <c r="AB18" s="1" t="str">
        <f>""</f>
        <v/>
      </c>
      <c r="AC18" s="1" t="str">
        <f>""</f>
        <v/>
      </c>
      <c r="AD18" s="1" t="str">
        <f>""</f>
        <v/>
      </c>
      <c r="AE18" s="1" t="str">
        <f>""</f>
        <v/>
      </c>
      <c r="AF18" s="1" t="str">
        <f>""</f>
        <v/>
      </c>
      <c r="AG18" s="1" t="str">
        <f>"0.641"</f>
        <v>0.641</v>
      </c>
      <c r="AH18" s="1" t="str">
        <f>""</f>
        <v/>
      </c>
      <c r="AI18" s="1" t="str">
        <f>"1.806"</f>
        <v>1.806</v>
      </c>
      <c r="AJ18" s="1" t="str">
        <f>""</f>
        <v/>
      </c>
      <c r="AK18" s="1" t="str">
        <f>"1.012"</f>
        <v>1.012</v>
      </c>
      <c r="AL18" s="1" t="str">
        <f>""</f>
        <v/>
      </c>
      <c r="AM18" s="1" t="str">
        <f>"0.705"</f>
        <v>0.705</v>
      </c>
      <c r="AN18" s="1" t="str">
        <f>""</f>
        <v/>
      </c>
      <c r="AO18" s="1" t="str">
        <f>"0.604"</f>
        <v>0.604</v>
      </c>
      <c r="AP18" s="1" t="str">
        <f>""</f>
        <v/>
      </c>
      <c r="AQ18" s="1" t="str">
        <f>"2.933*"</f>
        <v>2.933*</v>
      </c>
      <c r="AR18" s="1" t="str">
        <f>""</f>
        <v/>
      </c>
      <c r="AS18" s="1" t="str">
        <f>""</f>
        <v/>
      </c>
      <c r="AT18" s="1" t="str">
        <f>""</f>
        <v/>
      </c>
      <c r="AU18" s="1" t="str">
        <f>""</f>
        <v/>
      </c>
      <c r="AV18" s="1" t="str">
        <f>""</f>
        <v/>
      </c>
      <c r="AW18" s="1" t="str">
        <f>""</f>
        <v/>
      </c>
      <c r="AX18" s="1" t="str">
        <f>""</f>
        <v/>
      </c>
      <c r="AY18" s="1" t="str">
        <f>""</f>
        <v/>
      </c>
      <c r="AZ18" s="1" t="str">
        <f>""</f>
        <v/>
      </c>
      <c r="BA18" s="1" t="str">
        <f>""</f>
        <v/>
      </c>
    </row>
    <row r="19" spans="1:53" x14ac:dyDescent="0.25">
      <c r="A19" s="1" t="str">
        <f>""</f>
        <v/>
      </c>
      <c r="B19" s="1" t="str">
        <f>""</f>
        <v/>
      </c>
      <c r="C19" s="1" t="str">
        <f>""</f>
        <v/>
      </c>
      <c r="D19" s="1" t="str">
        <f>""</f>
        <v/>
      </c>
      <c r="E19" s="1" t="str">
        <f>""</f>
        <v/>
      </c>
      <c r="F19" s="1" t="str">
        <f>""</f>
        <v/>
      </c>
      <c r="G19" s="1" t="str">
        <f>""</f>
        <v/>
      </c>
      <c r="H19" s="1" t="str">
        <f>""</f>
        <v/>
      </c>
      <c r="I19" s="1" t="str">
        <f>""</f>
        <v/>
      </c>
      <c r="J19" s="1" t="str">
        <f>""</f>
        <v/>
      </c>
      <c r="K19" s="1" t="str">
        <f>""</f>
        <v/>
      </c>
      <c r="L19" s="1" t="str">
        <f>""</f>
        <v/>
      </c>
      <c r="M19" s="1" t="str">
        <f>""</f>
        <v/>
      </c>
      <c r="N19" s="1" t="str">
        <f>""</f>
        <v/>
      </c>
      <c r="O19" s="1" t="str">
        <f>""</f>
        <v/>
      </c>
      <c r="P19" s="1" t="str">
        <f>""</f>
        <v/>
      </c>
      <c r="Q19" s="1" t="str">
        <f>""</f>
        <v/>
      </c>
      <c r="R19" s="1" t="str">
        <f>""</f>
        <v/>
      </c>
      <c r="S19" s="1" t="str">
        <f>""</f>
        <v/>
      </c>
      <c r="T19" s="1" t="str">
        <f>""</f>
        <v/>
      </c>
      <c r="U19" s="1" t="str">
        <f>""</f>
        <v/>
      </c>
      <c r="V19" s="1" t="str">
        <f>""</f>
        <v/>
      </c>
      <c r="W19" s="1" t="str">
        <f>""</f>
        <v/>
      </c>
      <c r="X19" s="1" t="str">
        <f>""</f>
        <v/>
      </c>
      <c r="Y19" s="1" t="str">
        <f>""</f>
        <v/>
      </c>
      <c r="Z19" s="1" t="str">
        <f>""</f>
        <v/>
      </c>
      <c r="AA19" s="1" t="str">
        <f>""</f>
        <v/>
      </c>
      <c r="AB19" s="1" t="str">
        <f>""</f>
        <v/>
      </c>
      <c r="AC19" s="1" t="str">
        <f>""</f>
        <v/>
      </c>
      <c r="AD19" s="1" t="str">
        <f>""</f>
        <v/>
      </c>
      <c r="AE19" s="1" t="str">
        <f>""</f>
        <v/>
      </c>
      <c r="AF19" s="1" t="str">
        <f>""</f>
        <v/>
      </c>
      <c r="AG19" s="1" t="str">
        <f>"(0.389)"</f>
        <v>(0.389)</v>
      </c>
      <c r="AH19" s="1" t="str">
        <f>""</f>
        <v/>
      </c>
      <c r="AI19" s="1" t="str">
        <f>"(0.713)"</f>
        <v>(0.713)</v>
      </c>
      <c r="AJ19" s="1" t="str">
        <f>""</f>
        <v/>
      </c>
      <c r="AK19" s="1" t="str">
        <f>"(0.421)"</f>
        <v>(0.421)</v>
      </c>
      <c r="AL19" s="1" t="str">
        <f>""</f>
        <v/>
      </c>
      <c r="AM19" s="1" t="str">
        <f>"(0.234)"</f>
        <v>(0.234)</v>
      </c>
      <c r="AN19" s="1" t="str">
        <f>""</f>
        <v/>
      </c>
      <c r="AO19" s="1" t="str">
        <f>"(0.339)"</f>
        <v>(0.339)</v>
      </c>
      <c r="AP19" s="1" t="str">
        <f>""</f>
        <v/>
      </c>
      <c r="AQ19" s="1" t="str">
        <f>"(1.227)"</f>
        <v>(1.227)</v>
      </c>
      <c r="AR19" s="1" t="str">
        <f>""</f>
        <v/>
      </c>
      <c r="AS19" s="1" t="str">
        <f>""</f>
        <v/>
      </c>
      <c r="AT19" s="1" t="str">
        <f>""</f>
        <v/>
      </c>
      <c r="AU19" s="1" t="str">
        <f>""</f>
        <v/>
      </c>
      <c r="AV19" s="1" t="str">
        <f>""</f>
        <v/>
      </c>
      <c r="AW19" s="1" t="str">
        <f>""</f>
        <v/>
      </c>
      <c r="AX19" s="1" t="str">
        <f>""</f>
        <v/>
      </c>
      <c r="AY19" s="1" t="str">
        <f>""</f>
        <v/>
      </c>
      <c r="AZ19" s="1" t="str">
        <f>""</f>
        <v/>
      </c>
      <c r="BA19" s="1" t="str">
        <f>""</f>
        <v/>
      </c>
    </row>
    <row r="20" spans="1:53" x14ac:dyDescent="0.25">
      <c r="A20" s="1" t="str">
        <f>"Relationship Quality x Hispanic"</f>
        <v>Relationship Quality x Hispanic</v>
      </c>
      <c r="B20" s="1" t="str">
        <f>""</f>
        <v/>
      </c>
      <c r="C20" s="1" t="str">
        <f>""</f>
        <v/>
      </c>
      <c r="D20" s="1" t="str">
        <f>""</f>
        <v/>
      </c>
      <c r="E20" s="1" t="str">
        <f>""</f>
        <v/>
      </c>
      <c r="F20" s="1" t="str">
        <f>""</f>
        <v/>
      </c>
      <c r="G20" s="1" t="str">
        <f>""</f>
        <v/>
      </c>
      <c r="H20" s="1" t="str">
        <f>""</f>
        <v/>
      </c>
      <c r="I20" s="1" t="str">
        <f>""</f>
        <v/>
      </c>
      <c r="J20" s="1" t="str">
        <f>""</f>
        <v/>
      </c>
      <c r="K20" s="1" t="str">
        <f>""</f>
        <v/>
      </c>
      <c r="L20" s="1" t="str">
        <f>""</f>
        <v/>
      </c>
      <c r="M20" s="1" t="str">
        <f>""</f>
        <v/>
      </c>
      <c r="N20" s="1" t="str">
        <f>""</f>
        <v/>
      </c>
      <c r="O20" s="1" t="str">
        <f>""</f>
        <v/>
      </c>
      <c r="P20" s="1" t="str">
        <f>""</f>
        <v/>
      </c>
      <c r="Q20" s="1" t="str">
        <f>""</f>
        <v/>
      </c>
      <c r="R20" s="1" t="str">
        <f>""</f>
        <v/>
      </c>
      <c r="S20" s="1" t="str">
        <f>""</f>
        <v/>
      </c>
      <c r="T20" s="1" t="str">
        <f>""</f>
        <v/>
      </c>
      <c r="U20" s="1" t="str">
        <f>""</f>
        <v/>
      </c>
      <c r="V20" s="1" t="str">
        <f>""</f>
        <v/>
      </c>
      <c r="W20" s="1" t="str">
        <f>""</f>
        <v/>
      </c>
      <c r="X20" s="1" t="str">
        <f>""</f>
        <v/>
      </c>
      <c r="Y20" s="1" t="str">
        <f>""</f>
        <v/>
      </c>
      <c r="Z20" s="1" t="str">
        <f>""</f>
        <v/>
      </c>
      <c r="AA20" s="1" t="str">
        <f>""</f>
        <v/>
      </c>
      <c r="AB20" s="1" t="str">
        <f>""</f>
        <v/>
      </c>
      <c r="AC20" s="1" t="str">
        <f>""</f>
        <v/>
      </c>
      <c r="AD20" s="1" t="str">
        <f>""</f>
        <v/>
      </c>
      <c r="AE20" s="1" t="str">
        <f>""</f>
        <v/>
      </c>
      <c r="AF20" s="1" t="str">
        <f>""</f>
        <v/>
      </c>
      <c r="AG20" s="1" t="str">
        <f>"0.535"</f>
        <v>0.535</v>
      </c>
      <c r="AH20" s="1" t="str">
        <f>""</f>
        <v/>
      </c>
      <c r="AI20" s="1" t="str">
        <f>"1.036"</f>
        <v>1.036</v>
      </c>
      <c r="AJ20" s="1" t="str">
        <f>""</f>
        <v/>
      </c>
      <c r="AK20" s="1" t="str">
        <f>"1.313"</f>
        <v>1.313</v>
      </c>
      <c r="AL20" s="1" t="str">
        <f>""</f>
        <v/>
      </c>
      <c r="AM20" s="1" t="str">
        <f>"0.616"</f>
        <v>0.616</v>
      </c>
      <c r="AN20" s="1" t="str">
        <f>""</f>
        <v/>
      </c>
      <c r="AO20" s="1" t="str">
        <f>"1.208"</f>
        <v>1.208</v>
      </c>
      <c r="AP20" s="1" t="str">
        <f>""</f>
        <v/>
      </c>
      <c r="AQ20" s="1" t="str">
        <f>"1.733"</f>
        <v>1.733</v>
      </c>
      <c r="AR20" s="1" t="str">
        <f>""</f>
        <v/>
      </c>
      <c r="AS20" s="1" t="str">
        <f>""</f>
        <v/>
      </c>
      <c r="AT20" s="1" t="str">
        <f>""</f>
        <v/>
      </c>
      <c r="AU20" s="1" t="str">
        <f>""</f>
        <v/>
      </c>
      <c r="AV20" s="1" t="str">
        <f>""</f>
        <v/>
      </c>
      <c r="AW20" s="1" t="str">
        <f>""</f>
        <v/>
      </c>
      <c r="AX20" s="1" t="str">
        <f>""</f>
        <v/>
      </c>
      <c r="AY20" s="1" t="str">
        <f>""</f>
        <v/>
      </c>
      <c r="AZ20" s="1" t="str">
        <f>""</f>
        <v/>
      </c>
      <c r="BA20" s="1" t="str">
        <f>""</f>
        <v/>
      </c>
    </row>
    <row r="21" spans="1:53" x14ac:dyDescent="0.25">
      <c r="A21" s="1" t="str">
        <f>""</f>
        <v/>
      </c>
      <c r="B21" s="1" t="str">
        <f>""</f>
        <v/>
      </c>
      <c r="C21" s="1" t="str">
        <f>""</f>
        <v/>
      </c>
      <c r="D21" s="1" t="str">
        <f>""</f>
        <v/>
      </c>
      <c r="E21" s="1" t="str">
        <f>""</f>
        <v/>
      </c>
      <c r="F21" s="1" t="str">
        <f>""</f>
        <v/>
      </c>
      <c r="G21" s="1" t="str">
        <f>""</f>
        <v/>
      </c>
      <c r="H21" s="1" t="str">
        <f>""</f>
        <v/>
      </c>
      <c r="I21" s="1" t="str">
        <f>""</f>
        <v/>
      </c>
      <c r="J21" s="1" t="str">
        <f>""</f>
        <v/>
      </c>
      <c r="K21" s="1" t="str">
        <f>""</f>
        <v/>
      </c>
      <c r="L21" s="1" t="str">
        <f>""</f>
        <v/>
      </c>
      <c r="M21" s="1" t="str">
        <f>""</f>
        <v/>
      </c>
      <c r="N21" s="1" t="str">
        <f>""</f>
        <v/>
      </c>
      <c r="O21" s="1" t="str">
        <f>""</f>
        <v/>
      </c>
      <c r="P21" s="1" t="str">
        <f>""</f>
        <v/>
      </c>
      <c r="Q21" s="1" t="str">
        <f>""</f>
        <v/>
      </c>
      <c r="R21" s="1" t="str">
        <f>""</f>
        <v/>
      </c>
      <c r="S21" s="1" t="str">
        <f>""</f>
        <v/>
      </c>
      <c r="T21" s="1" t="str">
        <f>""</f>
        <v/>
      </c>
      <c r="U21" s="1" t="str">
        <f>""</f>
        <v/>
      </c>
      <c r="V21" s="1" t="str">
        <f>""</f>
        <v/>
      </c>
      <c r="W21" s="1" t="str">
        <f>""</f>
        <v/>
      </c>
      <c r="X21" s="1" t="str">
        <f>""</f>
        <v/>
      </c>
      <c r="Y21" s="1" t="str">
        <f>""</f>
        <v/>
      </c>
      <c r="Z21" s="1" t="str">
        <f>""</f>
        <v/>
      </c>
      <c r="AA21" s="1" t="str">
        <f>""</f>
        <v/>
      </c>
      <c r="AB21" s="1" t="str">
        <f>""</f>
        <v/>
      </c>
      <c r="AC21" s="1" t="str">
        <f>""</f>
        <v/>
      </c>
      <c r="AD21" s="1" t="str">
        <f>""</f>
        <v/>
      </c>
      <c r="AE21" s="1" t="str">
        <f>""</f>
        <v/>
      </c>
      <c r="AF21" s="1" t="str">
        <f>""</f>
        <v/>
      </c>
      <c r="AG21" s="1" t="str">
        <f>"(0.230)"</f>
        <v>(0.230)</v>
      </c>
      <c r="AH21" s="1" t="str">
        <f>""</f>
        <v/>
      </c>
      <c r="AI21" s="1" t="str">
        <f>"(0.651)"</f>
        <v>(0.651)</v>
      </c>
      <c r="AJ21" s="1" t="str">
        <f>""</f>
        <v/>
      </c>
      <c r="AK21" s="1" t="str">
        <f>"(0.722)"</f>
        <v>(0.722)</v>
      </c>
      <c r="AL21" s="1" t="str">
        <f>""</f>
        <v/>
      </c>
      <c r="AM21" s="1" t="str">
        <f>"(0.262)"</f>
        <v>(0.262)</v>
      </c>
      <c r="AN21" s="1" t="str">
        <f>""</f>
        <v/>
      </c>
      <c r="AO21" s="1" t="str">
        <f>"(0.658)"</f>
        <v>(0.658)</v>
      </c>
      <c r="AP21" s="1" t="str">
        <f>""</f>
        <v/>
      </c>
      <c r="AQ21" s="1" t="str">
        <f>"(0.594)"</f>
        <v>(0.594)</v>
      </c>
      <c r="AR21" s="1" t="str">
        <f>""</f>
        <v/>
      </c>
      <c r="AS21" s="1" t="str">
        <f>""</f>
        <v/>
      </c>
      <c r="AT21" s="1" t="str">
        <f>""</f>
        <v/>
      </c>
      <c r="AU21" s="1" t="str">
        <f>""</f>
        <v/>
      </c>
      <c r="AV21" s="1" t="str">
        <f>""</f>
        <v/>
      </c>
      <c r="AW21" s="1" t="str">
        <f>""</f>
        <v/>
      </c>
      <c r="AX21" s="1" t="str">
        <f>""</f>
        <v/>
      </c>
      <c r="AY21" s="1" t="str">
        <f>""</f>
        <v/>
      </c>
      <c r="AZ21" s="1" t="str">
        <f>""</f>
        <v/>
      </c>
      <c r="BA21" s="1" t="str">
        <f>""</f>
        <v/>
      </c>
    </row>
    <row r="22" spans="1:53" x14ac:dyDescent="0.25">
      <c r="A22" s="1" t="str">
        <f>"No Trauma x Black"</f>
        <v>No Trauma x Black</v>
      </c>
      <c r="B22" s="1" t="str">
        <f>""</f>
        <v/>
      </c>
      <c r="C22" s="1" t="str">
        <f>""</f>
        <v/>
      </c>
      <c r="D22" s="1" t="str">
        <f>""</f>
        <v/>
      </c>
      <c r="E22" s="1" t="str">
        <f>""</f>
        <v/>
      </c>
      <c r="F22" s="1" t="str">
        <f>""</f>
        <v/>
      </c>
      <c r="G22" s="1" t="str">
        <f>""</f>
        <v/>
      </c>
      <c r="H22" s="1" t="str">
        <f>""</f>
        <v/>
      </c>
      <c r="I22" s="1" t="str">
        <f>""</f>
        <v/>
      </c>
      <c r="J22" s="1" t="str">
        <f>""</f>
        <v/>
      </c>
      <c r="K22" s="1" t="str">
        <f>""</f>
        <v/>
      </c>
      <c r="L22" s="1" t="str">
        <f>""</f>
        <v/>
      </c>
      <c r="M22" s="1" t="str">
        <f>""</f>
        <v/>
      </c>
      <c r="N22" s="1" t="str">
        <f>""</f>
        <v/>
      </c>
      <c r="O22" s="1" t="str">
        <f>""</f>
        <v/>
      </c>
      <c r="P22" s="1" t="str">
        <f>""</f>
        <v/>
      </c>
      <c r="Q22" s="1" t="str">
        <f>""</f>
        <v/>
      </c>
      <c r="R22" s="1" t="str">
        <f>""</f>
        <v/>
      </c>
      <c r="S22" s="1" t="str">
        <f>""</f>
        <v/>
      </c>
      <c r="T22" s="1" t="str">
        <f>""</f>
        <v/>
      </c>
      <c r="U22" s="1" t="str">
        <f>""</f>
        <v/>
      </c>
      <c r="V22" s="1" t="str">
        <f>""</f>
        <v/>
      </c>
      <c r="W22" s="1" t="str">
        <f>""</f>
        <v/>
      </c>
      <c r="X22" s="1" t="str">
        <f>""</f>
        <v/>
      </c>
      <c r="Y22" s="1" t="str">
        <f>""</f>
        <v/>
      </c>
      <c r="Z22" s="1" t="str">
        <f>""</f>
        <v/>
      </c>
      <c r="AA22" s="1" t="str">
        <f>""</f>
        <v/>
      </c>
      <c r="AB22" s="1" t="str">
        <f>""</f>
        <v/>
      </c>
      <c r="AC22" s="1" t="str">
        <f>""</f>
        <v/>
      </c>
      <c r="AD22" s="1" t="str">
        <f>""</f>
        <v/>
      </c>
      <c r="AE22" s="1" t="str">
        <f>""</f>
        <v/>
      </c>
      <c r="AF22" s="1" t="str">
        <f>""</f>
        <v/>
      </c>
      <c r="AG22" s="1" t="str">
        <f>""</f>
        <v/>
      </c>
      <c r="AH22" s="1" t="str">
        <f>""</f>
        <v/>
      </c>
      <c r="AI22" s="1" t="str">
        <f>""</f>
        <v/>
      </c>
      <c r="AJ22" s="1" t="str">
        <f>""</f>
        <v/>
      </c>
      <c r="AK22" s="1" t="str">
        <f>""</f>
        <v/>
      </c>
      <c r="AL22" s="1" t="str">
        <f>""</f>
        <v/>
      </c>
      <c r="AM22" s="1" t="str">
        <f>""</f>
        <v/>
      </c>
      <c r="AN22" s="1" t="str">
        <f>""</f>
        <v/>
      </c>
      <c r="AO22" s="1" t="str">
        <f>""</f>
        <v/>
      </c>
      <c r="AP22" s="1" t="str">
        <f>""</f>
        <v/>
      </c>
      <c r="AQ22" s="1" t="str">
        <f>""</f>
        <v/>
      </c>
      <c r="AR22" s="1" t="str">
        <f>""</f>
        <v/>
      </c>
      <c r="AS22" s="1" t="str">
        <f>"2.063"</f>
        <v>2.063</v>
      </c>
      <c r="AT22" s="1" t="str">
        <f>""</f>
        <v/>
      </c>
      <c r="AU22" s="1" t="str">
        <f>"0.135"</f>
        <v>0.135</v>
      </c>
      <c r="AV22" s="1" t="str">
        <f>""</f>
        <v/>
      </c>
      <c r="AW22" s="1" t="str">
        <f>"0.076*"</f>
        <v>0.076*</v>
      </c>
      <c r="AX22" s="1" t="str">
        <f>""</f>
        <v/>
      </c>
      <c r="AY22" s="1" t="str">
        <f>"0.081"</f>
        <v>0.081</v>
      </c>
      <c r="AZ22" s="1" t="str">
        <f>""</f>
        <v/>
      </c>
      <c r="BA22" s="1" t="str">
        <f>"0.114*"</f>
        <v>0.114*</v>
      </c>
    </row>
    <row r="23" spans="1:53" x14ac:dyDescent="0.25">
      <c r="A23" s="1" t="str">
        <f>""</f>
        <v/>
      </c>
      <c r="B23" s="1" t="str">
        <f>""</f>
        <v/>
      </c>
      <c r="C23" s="1" t="str">
        <f>""</f>
        <v/>
      </c>
      <c r="D23" s="1" t="str">
        <f>""</f>
        <v/>
      </c>
      <c r="E23" s="1" t="str">
        <f>""</f>
        <v/>
      </c>
      <c r="F23" s="1" t="str">
        <f>""</f>
        <v/>
      </c>
      <c r="G23" s="1" t="str">
        <f>""</f>
        <v/>
      </c>
      <c r="H23" s="1" t="str">
        <f>""</f>
        <v/>
      </c>
      <c r="I23" s="1" t="str">
        <f>""</f>
        <v/>
      </c>
      <c r="J23" s="1" t="str">
        <f>""</f>
        <v/>
      </c>
      <c r="K23" s="1" t="str">
        <f>""</f>
        <v/>
      </c>
      <c r="L23" s="1" t="str">
        <f>""</f>
        <v/>
      </c>
      <c r="M23" s="1" t="str">
        <f>""</f>
        <v/>
      </c>
      <c r="N23" s="1" t="str">
        <f>""</f>
        <v/>
      </c>
      <c r="O23" s="1" t="str">
        <f>""</f>
        <v/>
      </c>
      <c r="P23" s="1" t="str">
        <f>""</f>
        <v/>
      </c>
      <c r="Q23" s="1" t="str">
        <f>""</f>
        <v/>
      </c>
      <c r="R23" s="1" t="str">
        <f>""</f>
        <v/>
      </c>
      <c r="S23" s="1" t="str">
        <f>""</f>
        <v/>
      </c>
      <c r="T23" s="1" t="str">
        <f>""</f>
        <v/>
      </c>
      <c r="U23" s="1" t="str">
        <f>""</f>
        <v/>
      </c>
      <c r="V23" s="1" t="str">
        <f>""</f>
        <v/>
      </c>
      <c r="W23" s="1" t="str">
        <f>""</f>
        <v/>
      </c>
      <c r="X23" s="1" t="str">
        <f>""</f>
        <v/>
      </c>
      <c r="Y23" s="1" t="str">
        <f>""</f>
        <v/>
      </c>
      <c r="Z23" s="1" t="str">
        <f>""</f>
        <v/>
      </c>
      <c r="AA23" s="1" t="str">
        <f>""</f>
        <v/>
      </c>
      <c r="AB23" s="1" t="str">
        <f>""</f>
        <v/>
      </c>
      <c r="AC23" s="1" t="str">
        <f>""</f>
        <v/>
      </c>
      <c r="AD23" s="1" t="str">
        <f>""</f>
        <v/>
      </c>
      <c r="AE23" s="1" t="str">
        <f>""</f>
        <v/>
      </c>
      <c r="AF23" s="1" t="str">
        <f>""</f>
        <v/>
      </c>
      <c r="AG23" s="1" t="str">
        <f>""</f>
        <v/>
      </c>
      <c r="AH23" s="1" t="str">
        <f>""</f>
        <v/>
      </c>
      <c r="AI23" s="1" t="str">
        <f>""</f>
        <v/>
      </c>
      <c r="AJ23" s="1" t="str">
        <f>""</f>
        <v/>
      </c>
      <c r="AK23" s="1" t="str">
        <f>""</f>
        <v/>
      </c>
      <c r="AL23" s="1" t="str">
        <f>""</f>
        <v/>
      </c>
      <c r="AM23" s="1" t="str">
        <f>""</f>
        <v/>
      </c>
      <c r="AN23" s="1" t="str">
        <f>""</f>
        <v/>
      </c>
      <c r="AO23" s="1" t="str">
        <f>""</f>
        <v/>
      </c>
      <c r="AP23" s="1" t="str">
        <f>""</f>
        <v/>
      </c>
      <c r="AQ23" s="1" t="str">
        <f>""</f>
        <v/>
      </c>
      <c r="AR23" s="1" t="str">
        <f>""</f>
        <v/>
      </c>
      <c r="AS23" s="1" t="str">
        <f>"(3.764)"</f>
        <v>(3.764)</v>
      </c>
      <c r="AT23" s="1" t="str">
        <f>""</f>
        <v/>
      </c>
      <c r="AU23" s="1" t="str">
        <f>"(0.211)"</f>
        <v>(0.211)</v>
      </c>
      <c r="AV23" s="1" t="str">
        <f>""</f>
        <v/>
      </c>
      <c r="AW23" s="1" t="str">
        <f>"(0.077)"</f>
        <v>(0.077)</v>
      </c>
      <c r="AX23" s="1" t="str">
        <f>""</f>
        <v/>
      </c>
      <c r="AY23" s="1" t="str">
        <f>"(0.110)"</f>
        <v>(0.110)</v>
      </c>
      <c r="AZ23" s="1" t="str">
        <f>""</f>
        <v/>
      </c>
      <c r="BA23" s="1" t="str">
        <f>"(0.112)"</f>
        <v>(0.112)</v>
      </c>
    </row>
    <row r="24" spans="1:53" x14ac:dyDescent="0.25">
      <c r="A24" s="1" t="str">
        <f>"No Trauma x Hispanic"</f>
        <v>No Trauma x Hispanic</v>
      </c>
      <c r="B24" s="1" t="str">
        <f>""</f>
        <v/>
      </c>
      <c r="C24" s="1" t="str">
        <f>""</f>
        <v/>
      </c>
      <c r="D24" s="1" t="str">
        <f>""</f>
        <v/>
      </c>
      <c r="E24" s="1" t="str">
        <f>""</f>
        <v/>
      </c>
      <c r="F24" s="1" t="str">
        <f>""</f>
        <v/>
      </c>
      <c r="G24" s="1" t="str">
        <f>""</f>
        <v/>
      </c>
      <c r="H24" s="1" t="str">
        <f>""</f>
        <v/>
      </c>
      <c r="I24" s="1" t="str">
        <f>""</f>
        <v/>
      </c>
      <c r="J24" s="1" t="str">
        <f>""</f>
        <v/>
      </c>
      <c r="K24" s="1" t="str">
        <f>""</f>
        <v/>
      </c>
      <c r="L24" s="1" t="str">
        <f>""</f>
        <v/>
      </c>
      <c r="M24" s="1" t="str">
        <f>""</f>
        <v/>
      </c>
      <c r="N24" s="1" t="str">
        <f>""</f>
        <v/>
      </c>
      <c r="O24" s="1" t="str">
        <f>""</f>
        <v/>
      </c>
      <c r="P24" s="1" t="str">
        <f>""</f>
        <v/>
      </c>
      <c r="Q24" s="1" t="str">
        <f>""</f>
        <v/>
      </c>
      <c r="R24" s="1" t="str">
        <f>""</f>
        <v/>
      </c>
      <c r="S24" s="1" t="str">
        <f>""</f>
        <v/>
      </c>
      <c r="T24" s="1" t="str">
        <f>""</f>
        <v/>
      </c>
      <c r="U24" s="1" t="str">
        <f>""</f>
        <v/>
      </c>
      <c r="V24" s="1" t="str">
        <f>""</f>
        <v/>
      </c>
      <c r="W24" s="1" t="str">
        <f>""</f>
        <v/>
      </c>
      <c r="X24" s="1" t="str">
        <f>""</f>
        <v/>
      </c>
      <c r="Y24" s="1" t="str">
        <f>""</f>
        <v/>
      </c>
      <c r="Z24" s="1" t="str">
        <f>""</f>
        <v/>
      </c>
      <c r="AA24" s="1" t="str">
        <f>""</f>
        <v/>
      </c>
      <c r="AB24" s="1" t="str">
        <f>""</f>
        <v/>
      </c>
      <c r="AC24" s="1" t="str">
        <f>""</f>
        <v/>
      </c>
      <c r="AD24" s="1" t="str">
        <f>""</f>
        <v/>
      </c>
      <c r="AE24" s="1" t="str">
        <f>""</f>
        <v/>
      </c>
      <c r="AF24" s="1" t="str">
        <f>""</f>
        <v/>
      </c>
      <c r="AG24" s="1" t="str">
        <f>""</f>
        <v/>
      </c>
      <c r="AH24" s="1" t="str">
        <f>""</f>
        <v/>
      </c>
      <c r="AI24" s="1" t="str">
        <f>""</f>
        <v/>
      </c>
      <c r="AJ24" s="1" t="str">
        <f>""</f>
        <v/>
      </c>
      <c r="AK24" s="1" t="str">
        <f>""</f>
        <v/>
      </c>
      <c r="AL24" s="1" t="str">
        <f>""</f>
        <v/>
      </c>
      <c r="AM24" s="1" t="str">
        <f>""</f>
        <v/>
      </c>
      <c r="AN24" s="1" t="str">
        <f>""</f>
        <v/>
      </c>
      <c r="AO24" s="1" t="str">
        <f>""</f>
        <v/>
      </c>
      <c r="AP24" s="1" t="str">
        <f>""</f>
        <v/>
      </c>
      <c r="AQ24" s="1" t="str">
        <f>""</f>
        <v/>
      </c>
      <c r="AR24" s="1" t="str">
        <f>""</f>
        <v/>
      </c>
      <c r="AS24" s="1" t="str">
        <f>"1.894"</f>
        <v>1.894</v>
      </c>
      <c r="AT24" s="1" t="str">
        <f>""</f>
        <v/>
      </c>
      <c r="AU24" s="1" t="str">
        <f>"42.952*"</f>
        <v>42.952*</v>
      </c>
      <c r="AV24" s="1" t="str">
        <f>""</f>
        <v/>
      </c>
      <c r="AW24" s="1" t="str">
        <f>"1.612"</f>
        <v>1.612</v>
      </c>
      <c r="AX24" s="1" t="str">
        <f>""</f>
        <v/>
      </c>
      <c r="AY24" s="1" t="str">
        <f>"6.051"</f>
        <v>6.051</v>
      </c>
      <c r="AZ24" s="1" t="str">
        <f>""</f>
        <v/>
      </c>
      <c r="BA24" s="1" t="str">
        <f>"1.734"</f>
        <v>1.734</v>
      </c>
    </row>
    <row r="25" spans="1:53" x14ac:dyDescent="0.25">
      <c r="A25" s="1" t="str">
        <f>""</f>
        <v/>
      </c>
      <c r="B25" s="1" t="str">
        <f>""</f>
        <v/>
      </c>
      <c r="C25" s="1" t="str">
        <f>""</f>
        <v/>
      </c>
      <c r="D25" s="1" t="str">
        <f>""</f>
        <v/>
      </c>
      <c r="E25" s="1" t="str">
        <f>""</f>
        <v/>
      </c>
      <c r="F25" s="1" t="str">
        <f>""</f>
        <v/>
      </c>
      <c r="G25" s="1" t="str">
        <f>""</f>
        <v/>
      </c>
      <c r="H25" s="1" t="str">
        <f>""</f>
        <v/>
      </c>
      <c r="I25" s="1" t="str">
        <f>""</f>
        <v/>
      </c>
      <c r="J25" s="1" t="str">
        <f>""</f>
        <v/>
      </c>
      <c r="K25" s="1" t="str">
        <f>""</f>
        <v/>
      </c>
      <c r="L25" s="1" t="str">
        <f>""</f>
        <v/>
      </c>
      <c r="M25" s="1" t="str">
        <f>""</f>
        <v/>
      </c>
      <c r="N25" s="1" t="str">
        <f>""</f>
        <v/>
      </c>
      <c r="O25" s="1" t="str">
        <f>""</f>
        <v/>
      </c>
      <c r="P25" s="1" t="str">
        <f>""</f>
        <v/>
      </c>
      <c r="Q25" s="1" t="str">
        <f>""</f>
        <v/>
      </c>
      <c r="R25" s="1" t="str">
        <f>""</f>
        <v/>
      </c>
      <c r="S25" s="1" t="str">
        <f>""</f>
        <v/>
      </c>
      <c r="T25" s="1" t="str">
        <f>""</f>
        <v/>
      </c>
      <c r="U25" s="1" t="str">
        <f>""</f>
        <v/>
      </c>
      <c r="V25" s="1" t="str">
        <f>""</f>
        <v/>
      </c>
      <c r="W25" s="1" t="str">
        <f>""</f>
        <v/>
      </c>
      <c r="X25" s="1" t="str">
        <f>""</f>
        <v/>
      </c>
      <c r="Y25" s="1" t="str">
        <f>""</f>
        <v/>
      </c>
      <c r="Z25" s="1" t="str">
        <f>""</f>
        <v/>
      </c>
      <c r="AA25" s="1" t="str">
        <f>""</f>
        <v/>
      </c>
      <c r="AB25" s="1" t="str">
        <f>""</f>
        <v/>
      </c>
      <c r="AC25" s="1" t="str">
        <f>""</f>
        <v/>
      </c>
      <c r="AD25" s="1" t="str">
        <f>""</f>
        <v/>
      </c>
      <c r="AE25" s="1" t="str">
        <f>""</f>
        <v/>
      </c>
      <c r="AF25" s="1" t="str">
        <f>""</f>
        <v/>
      </c>
      <c r="AG25" s="1" t="str">
        <f>""</f>
        <v/>
      </c>
      <c r="AH25" s="1" t="str">
        <f>""</f>
        <v/>
      </c>
      <c r="AI25" s="1" t="str">
        <f>""</f>
        <v/>
      </c>
      <c r="AJ25" s="1" t="str">
        <f>""</f>
        <v/>
      </c>
      <c r="AK25" s="1" t="str">
        <f>""</f>
        <v/>
      </c>
      <c r="AL25" s="1" t="str">
        <f>""</f>
        <v/>
      </c>
      <c r="AM25" s="1" t="str">
        <f>""</f>
        <v/>
      </c>
      <c r="AN25" s="1" t="str">
        <f>""</f>
        <v/>
      </c>
      <c r="AO25" s="1" t="str">
        <f>""</f>
        <v/>
      </c>
      <c r="AP25" s="1" t="str">
        <f>""</f>
        <v/>
      </c>
      <c r="AQ25" s="1" t="str">
        <f>""</f>
        <v/>
      </c>
      <c r="AR25" s="1" t="str">
        <f>""</f>
        <v/>
      </c>
      <c r="AS25" s="1" t="str">
        <f>"(2.814)"</f>
        <v>(2.814)</v>
      </c>
      <c r="AT25" s="1" t="str">
        <f>""</f>
        <v/>
      </c>
      <c r="AU25" s="1" t="str">
        <f>"(70.953)"</f>
        <v>(70.953)</v>
      </c>
      <c r="AV25" s="1" t="str">
        <f>""</f>
        <v/>
      </c>
      <c r="AW25" s="1" t="str">
        <f>"(2.101)"</f>
        <v>(2.101)</v>
      </c>
      <c r="AX25" s="1" t="str">
        <f>""</f>
        <v/>
      </c>
      <c r="AY25" s="1" t="str">
        <f>"(9.367)"</f>
        <v>(9.367)</v>
      </c>
      <c r="AZ25" s="1" t="str">
        <f>""</f>
        <v/>
      </c>
      <c r="BA25" s="1" t="str">
        <f>"(2.593)"</f>
        <v>(2.593)</v>
      </c>
    </row>
    <row r="26" spans="1:53" x14ac:dyDescent="0.25">
      <c r="A26" s="1" t="str">
        <f>"Responsiveness"</f>
        <v>Responsiveness</v>
      </c>
      <c r="B26" s="1" t="str">
        <f>"36.318***"</f>
        <v>36.318***</v>
      </c>
      <c r="C26" s="1" t="str">
        <f>"43.440***"</f>
        <v>43.440***</v>
      </c>
      <c r="D26" s="1" t="str">
        <f>"22.550***"</f>
        <v>22.550***</v>
      </c>
      <c r="E26" s="1" t="str">
        <f>"27.099***"</f>
        <v>27.099***</v>
      </c>
      <c r="F26" s="1" t="str">
        <f>"20.035***"</f>
        <v>20.035***</v>
      </c>
      <c r="G26" s="1" t="str">
        <f>"25.010***"</f>
        <v>25.010***</v>
      </c>
      <c r="H26" s="1" t="str">
        <f>"15.687***"</f>
        <v>15.687***</v>
      </c>
      <c r="I26" s="1" t="str">
        <f>"13.622***"</f>
        <v>13.622***</v>
      </c>
      <c r="J26" s="1" t="str">
        <f>"5.709***"</f>
        <v>5.709***</v>
      </c>
      <c r="K26" s="1" t="str">
        <f>"10.144***"</f>
        <v>10.144***</v>
      </c>
      <c r="L26" s="1" t="str">
        <f>"31.794***"</f>
        <v>31.794***</v>
      </c>
      <c r="M26" s="1" t="str">
        <f>"51.083***"</f>
        <v>51.083***</v>
      </c>
      <c r="N26" s="1" t="str">
        <f>"40.369***"</f>
        <v>40.369***</v>
      </c>
      <c r="O26" s="1" t="str">
        <f>"34.425***"</f>
        <v>34.425***</v>
      </c>
      <c r="P26" s="1" t="str">
        <f>"44.530***"</f>
        <v>44.530***</v>
      </c>
      <c r="Q26" s="1" t="str">
        <f>"18.634***"</f>
        <v>18.634***</v>
      </c>
      <c r="R26" s="1" t="str">
        <f>"6.383***"</f>
        <v>6.383***</v>
      </c>
      <c r="S26" s="1" t="str">
        <f>"3.598***"</f>
        <v>3.598***</v>
      </c>
      <c r="T26" s="1" t="str">
        <f>""</f>
        <v/>
      </c>
      <c r="U26" s="1" t="str">
        <f>""</f>
        <v/>
      </c>
      <c r="V26" s="1" t="str">
        <f>""</f>
        <v/>
      </c>
      <c r="W26" s="1" t="str">
        <f>""</f>
        <v/>
      </c>
      <c r="X26" s="1" t="str">
        <f>""</f>
        <v/>
      </c>
      <c r="Y26" s="1" t="str">
        <f>""</f>
        <v/>
      </c>
      <c r="Z26" s="1" t="str">
        <f>""</f>
        <v/>
      </c>
      <c r="AA26" s="1" t="str">
        <f>""</f>
        <v/>
      </c>
      <c r="AB26" s="1" t="str">
        <f>""</f>
        <v/>
      </c>
      <c r="AC26" s="1" t="str">
        <f>""</f>
        <v/>
      </c>
      <c r="AD26" s="1" t="str">
        <f>""</f>
        <v/>
      </c>
      <c r="AE26" s="1" t="str">
        <f>""</f>
        <v/>
      </c>
      <c r="AF26" s="1" t="str">
        <f>""</f>
        <v/>
      </c>
      <c r="AG26" s="1" t="str">
        <f>""</f>
        <v/>
      </c>
      <c r="AH26" s="1" t="str">
        <f>""</f>
        <v/>
      </c>
      <c r="AI26" s="1" t="str">
        <f>""</f>
        <v/>
      </c>
      <c r="AJ26" s="1" t="str">
        <f>""</f>
        <v/>
      </c>
      <c r="AK26" s="1" t="str">
        <f>""</f>
        <v/>
      </c>
      <c r="AL26" s="1" t="str">
        <f>""</f>
        <v/>
      </c>
      <c r="AM26" s="1" t="str">
        <f>""</f>
        <v/>
      </c>
      <c r="AN26" s="1" t="str">
        <f>""</f>
        <v/>
      </c>
      <c r="AO26" s="1" t="str">
        <f>""</f>
        <v/>
      </c>
      <c r="AP26" s="1" t="str">
        <f>""</f>
        <v/>
      </c>
      <c r="AQ26" s="1" t="str">
        <f>""</f>
        <v/>
      </c>
      <c r="AR26" s="1" t="str">
        <f>""</f>
        <v/>
      </c>
      <c r="AS26" s="1" t="str">
        <f>""</f>
        <v/>
      </c>
      <c r="AT26" s="1" t="str">
        <f>""</f>
        <v/>
      </c>
      <c r="AU26" s="1" t="str">
        <f>""</f>
        <v/>
      </c>
      <c r="AV26" s="1" t="str">
        <f>""</f>
        <v/>
      </c>
      <c r="AW26" s="1" t="str">
        <f>""</f>
        <v/>
      </c>
      <c r="AX26" s="1" t="str">
        <f>""</f>
        <v/>
      </c>
      <c r="AY26" s="1" t="str">
        <f>""</f>
        <v/>
      </c>
      <c r="AZ26" s="1" t="str">
        <f>""</f>
        <v/>
      </c>
      <c r="BA26" s="1" t="str">
        <f>""</f>
        <v/>
      </c>
    </row>
    <row r="27" spans="1:53" x14ac:dyDescent="0.25">
      <c r="A27" s="1" t="str">
        <f>""</f>
        <v/>
      </c>
      <c r="B27" s="1" t="str">
        <f>"(10.782)"</f>
        <v>(10.782)</v>
      </c>
      <c r="C27" s="1" t="str">
        <f>"(14.259)"</f>
        <v>(14.259)</v>
      </c>
      <c r="D27" s="1" t="str">
        <f>"(7.672)"</f>
        <v>(7.672)</v>
      </c>
      <c r="E27" s="1" t="str">
        <f>"(11.367)"</f>
        <v>(11.367)</v>
      </c>
      <c r="F27" s="1" t="str">
        <f>"(5.432)"</f>
        <v>(5.432)</v>
      </c>
      <c r="G27" s="1" t="str">
        <f>"(9.185)"</f>
        <v>(9.185)</v>
      </c>
      <c r="H27" s="1" t="str">
        <f>"(4.002)"</f>
        <v>(4.002)</v>
      </c>
      <c r="I27" s="1" t="str">
        <f>"(3.378)"</f>
        <v>(3.378)</v>
      </c>
      <c r="J27" s="1" t="str">
        <f>"(1.493)"</f>
        <v>(1.493)</v>
      </c>
      <c r="K27" s="1" t="str">
        <f>"(1.983)"</f>
        <v>(1.983)</v>
      </c>
      <c r="L27" s="1" t="str">
        <f>"(11.214)"</f>
        <v>(11.214)</v>
      </c>
      <c r="M27" s="1" t="str">
        <f>"(23.028)"</f>
        <v>(23.028)</v>
      </c>
      <c r="N27" s="1" t="str">
        <f>"(11.731)"</f>
        <v>(11.731)</v>
      </c>
      <c r="O27" s="1" t="str">
        <f>"(11.821)"</f>
        <v>(11.821)</v>
      </c>
      <c r="P27" s="1" t="str">
        <f>"(17.910)"</f>
        <v>(17.910)</v>
      </c>
      <c r="Q27" s="1" t="str">
        <f>"(5.986)"</f>
        <v>(5.986)</v>
      </c>
      <c r="R27" s="1" t="str">
        <f>"(1.148)"</f>
        <v>(1.148)</v>
      </c>
      <c r="S27" s="1" t="str">
        <f>"(0.624)"</f>
        <v>(0.624)</v>
      </c>
      <c r="T27" s="1" t="str">
        <f>""</f>
        <v/>
      </c>
      <c r="U27" s="1" t="str">
        <f>""</f>
        <v/>
      </c>
      <c r="V27" s="1" t="str">
        <f>""</f>
        <v/>
      </c>
      <c r="W27" s="1" t="str">
        <f>""</f>
        <v/>
      </c>
      <c r="X27" s="1" t="str">
        <f>""</f>
        <v/>
      </c>
      <c r="Y27" s="1" t="str">
        <f>""</f>
        <v/>
      </c>
      <c r="Z27" s="1" t="str">
        <f>""</f>
        <v/>
      </c>
      <c r="AA27" s="1" t="str">
        <f>""</f>
        <v/>
      </c>
      <c r="AB27" s="1" t="str">
        <f>""</f>
        <v/>
      </c>
      <c r="AC27" s="1" t="str">
        <f>""</f>
        <v/>
      </c>
      <c r="AD27" s="1" t="str">
        <f>""</f>
        <v/>
      </c>
      <c r="AE27" s="1" t="str">
        <f>""</f>
        <v/>
      </c>
      <c r="AF27" s="1" t="str">
        <f>""</f>
        <v/>
      </c>
      <c r="AG27" s="1" t="str">
        <f>""</f>
        <v/>
      </c>
      <c r="AH27" s="1" t="str">
        <f>""</f>
        <v/>
      </c>
      <c r="AI27" s="1" t="str">
        <f>""</f>
        <v/>
      </c>
      <c r="AJ27" s="1" t="str">
        <f>""</f>
        <v/>
      </c>
      <c r="AK27" s="1" t="str">
        <f>""</f>
        <v/>
      </c>
      <c r="AL27" s="1" t="str">
        <f>""</f>
        <v/>
      </c>
      <c r="AM27" s="1" t="str">
        <f>""</f>
        <v/>
      </c>
      <c r="AN27" s="1" t="str">
        <f>""</f>
        <v/>
      </c>
      <c r="AO27" s="1" t="str">
        <f>""</f>
        <v/>
      </c>
      <c r="AP27" s="1" t="str">
        <f>""</f>
        <v/>
      </c>
      <c r="AQ27" s="1" t="str">
        <f>""</f>
        <v/>
      </c>
      <c r="AR27" s="1" t="str">
        <f>""</f>
        <v/>
      </c>
      <c r="AS27" s="1" t="str">
        <f>""</f>
        <v/>
      </c>
      <c r="AT27" s="1" t="str">
        <f>""</f>
        <v/>
      </c>
      <c r="AU27" s="1" t="str">
        <f>""</f>
        <v/>
      </c>
      <c r="AV27" s="1" t="str">
        <f>""</f>
        <v/>
      </c>
      <c r="AW27" s="1" t="str">
        <f>""</f>
        <v/>
      </c>
      <c r="AX27" s="1" t="str">
        <f>""</f>
        <v/>
      </c>
      <c r="AY27" s="1" t="str">
        <f>""</f>
        <v/>
      </c>
      <c r="AZ27" s="1" t="str">
        <f>""</f>
        <v/>
      </c>
      <c r="BA27" s="1" t="str">
        <f>""</f>
        <v/>
      </c>
    </row>
    <row r="28" spans="1:53" x14ac:dyDescent="0.25">
      <c r="A28" s="1" t="str">
        <f>"Demandingness"</f>
        <v>Demandingness</v>
      </c>
      <c r="B28" s="1" t="str">
        <f>""</f>
        <v/>
      </c>
      <c r="C28" s="1" t="str">
        <f>""</f>
        <v/>
      </c>
      <c r="D28" s="1" t="str">
        <f>""</f>
        <v/>
      </c>
      <c r="E28" s="1" t="str">
        <f>""</f>
        <v/>
      </c>
      <c r="F28" s="1" t="str">
        <f>""</f>
        <v/>
      </c>
      <c r="G28" s="1" t="str">
        <f>""</f>
        <v/>
      </c>
      <c r="H28" s="1" t="str">
        <f>""</f>
        <v/>
      </c>
      <c r="I28" s="1" t="str">
        <f>""</f>
        <v/>
      </c>
      <c r="J28" s="1" t="str">
        <f>""</f>
        <v/>
      </c>
      <c r="K28" s="1" t="str">
        <f>""</f>
        <v/>
      </c>
      <c r="L28" s="1" t="str">
        <f>""</f>
        <v/>
      </c>
      <c r="M28" s="1" t="str">
        <f>""</f>
        <v/>
      </c>
      <c r="N28" s="1" t="str">
        <f>""</f>
        <v/>
      </c>
      <c r="O28" s="1" t="str">
        <f>""</f>
        <v/>
      </c>
      <c r="P28" s="1" t="str">
        <f>""</f>
        <v/>
      </c>
      <c r="Q28" s="1" t="str">
        <f>""</f>
        <v/>
      </c>
      <c r="R28" s="1" t="str">
        <f>""</f>
        <v/>
      </c>
      <c r="S28" s="1" t="str">
        <f>""</f>
        <v/>
      </c>
      <c r="T28" s="1" t="str">
        <f>"6.336***"</f>
        <v>6.336***</v>
      </c>
      <c r="U28" s="1" t="str">
        <f>"12.345***"</f>
        <v>12.345***</v>
      </c>
      <c r="V28" s="1" t="str">
        <f>"32.326***"</f>
        <v>32.326***</v>
      </c>
      <c r="W28" s="1" t="str">
        <f>"31.116***"</f>
        <v>31.116***</v>
      </c>
      <c r="X28" s="1" t="str">
        <f>"12.428***"</f>
        <v>12.428***</v>
      </c>
      <c r="Y28" s="1" t="str">
        <f>"10.492***"</f>
        <v>10.492***</v>
      </c>
      <c r="Z28" s="1" t="str">
        <f>"9.131***"</f>
        <v>9.131***</v>
      </c>
      <c r="AA28" s="1" t="str">
        <f>"9.473***"</f>
        <v>9.473***</v>
      </c>
      <c r="AB28" s="1" t="str">
        <f>"5.619***"</f>
        <v>5.619***</v>
      </c>
      <c r="AC28" s="1" t="str">
        <f>"8.373***"</f>
        <v>8.373***</v>
      </c>
      <c r="AD28" s="1" t="str">
        <f>"3.806***"</f>
        <v>3.806***</v>
      </c>
      <c r="AE28" s="1" t="str">
        <f>"7.358***"</f>
        <v>7.358***</v>
      </c>
      <c r="AF28" s="1" t="str">
        <f>""</f>
        <v/>
      </c>
      <c r="AG28" s="1" t="str">
        <f>""</f>
        <v/>
      </c>
      <c r="AH28" s="1" t="str">
        <f>""</f>
        <v/>
      </c>
      <c r="AI28" s="1" t="str">
        <f>""</f>
        <v/>
      </c>
      <c r="AJ28" s="1" t="str">
        <f>""</f>
        <v/>
      </c>
      <c r="AK28" s="1" t="str">
        <f>""</f>
        <v/>
      </c>
      <c r="AL28" s="1" t="str">
        <f>""</f>
        <v/>
      </c>
      <c r="AM28" s="1" t="str">
        <f>""</f>
        <v/>
      </c>
      <c r="AN28" s="1" t="str">
        <f>""</f>
        <v/>
      </c>
      <c r="AO28" s="1" t="str">
        <f>""</f>
        <v/>
      </c>
      <c r="AP28" s="1" t="str">
        <f>""</f>
        <v/>
      </c>
      <c r="AQ28" s="1" t="str">
        <f>""</f>
        <v/>
      </c>
      <c r="AR28" s="1" t="str">
        <f>""</f>
        <v/>
      </c>
      <c r="AS28" s="1" t="str">
        <f>""</f>
        <v/>
      </c>
      <c r="AT28" s="1" t="str">
        <f>""</f>
        <v/>
      </c>
      <c r="AU28" s="1" t="str">
        <f>""</f>
        <v/>
      </c>
      <c r="AV28" s="1" t="str">
        <f>""</f>
        <v/>
      </c>
      <c r="AW28" s="1" t="str">
        <f>""</f>
        <v/>
      </c>
      <c r="AX28" s="1" t="str">
        <f>""</f>
        <v/>
      </c>
      <c r="AY28" s="1" t="str">
        <f>""</f>
        <v/>
      </c>
      <c r="AZ28" s="1" t="str">
        <f>""</f>
        <v/>
      </c>
      <c r="BA28" s="1" t="str">
        <f>""</f>
        <v/>
      </c>
    </row>
    <row r="29" spans="1:53" x14ac:dyDescent="0.25">
      <c r="A29" s="1" t="str">
        <f>""</f>
        <v/>
      </c>
      <c r="B29" s="1" t="str">
        <f>""</f>
        <v/>
      </c>
      <c r="C29" s="1" t="str">
        <f>""</f>
        <v/>
      </c>
      <c r="D29" s="1" t="str">
        <f>""</f>
        <v/>
      </c>
      <c r="E29" s="1" t="str">
        <f>""</f>
        <v/>
      </c>
      <c r="F29" s="1" t="str">
        <f>""</f>
        <v/>
      </c>
      <c r="G29" s="1" t="str">
        <f>""</f>
        <v/>
      </c>
      <c r="H29" s="1" t="str">
        <f>""</f>
        <v/>
      </c>
      <c r="I29" s="1" t="str">
        <f>""</f>
        <v/>
      </c>
      <c r="J29" s="1" t="str">
        <f>""</f>
        <v/>
      </c>
      <c r="K29" s="1" t="str">
        <f>""</f>
        <v/>
      </c>
      <c r="L29" s="1" t="str">
        <f>""</f>
        <v/>
      </c>
      <c r="M29" s="1" t="str">
        <f>""</f>
        <v/>
      </c>
      <c r="N29" s="1" t="str">
        <f>""</f>
        <v/>
      </c>
      <c r="O29" s="1" t="str">
        <f>""</f>
        <v/>
      </c>
      <c r="P29" s="1" t="str">
        <f>""</f>
        <v/>
      </c>
      <c r="Q29" s="1" t="str">
        <f>""</f>
        <v/>
      </c>
      <c r="R29" s="1" t="str">
        <f>""</f>
        <v/>
      </c>
      <c r="S29" s="1" t="str">
        <f>""</f>
        <v/>
      </c>
      <c r="T29" s="1" t="str">
        <f>"(1.156)"</f>
        <v>(1.156)</v>
      </c>
      <c r="U29" s="1" t="str">
        <f>"(2.252)"</f>
        <v>(2.252)</v>
      </c>
      <c r="V29" s="1" t="str">
        <f>"(5.323)"</f>
        <v>(5.323)</v>
      </c>
      <c r="W29" s="1" t="str">
        <f>"(5.788)"</f>
        <v>(5.788)</v>
      </c>
      <c r="X29" s="1" t="str">
        <f>"(1.793)"</f>
        <v>(1.793)</v>
      </c>
      <c r="Y29" s="1" t="str">
        <f>"(1.427)"</f>
        <v>(1.427)</v>
      </c>
      <c r="Z29" s="1" t="str">
        <f>"(1.280)"</f>
        <v>(1.280)</v>
      </c>
      <c r="AA29" s="1" t="str">
        <f>"(1.367)"</f>
        <v>(1.367)</v>
      </c>
      <c r="AB29" s="1" t="str">
        <f>"(0.710)"</f>
        <v>(0.710)</v>
      </c>
      <c r="AC29" s="1" t="str">
        <f>"(1.337)"</f>
        <v>(1.337)</v>
      </c>
      <c r="AD29" s="1" t="str">
        <f>"(0.485)"</f>
        <v>(0.485)</v>
      </c>
      <c r="AE29" s="1" t="str">
        <f>"(0.943)"</f>
        <v>(0.943)</v>
      </c>
      <c r="AF29" s="1" t="str">
        <f>""</f>
        <v/>
      </c>
      <c r="AG29" s="1" t="str">
        <f>""</f>
        <v/>
      </c>
      <c r="AH29" s="1" t="str">
        <f>""</f>
        <v/>
      </c>
      <c r="AI29" s="1" t="str">
        <f>""</f>
        <v/>
      </c>
      <c r="AJ29" s="1" t="str">
        <f>""</f>
        <v/>
      </c>
      <c r="AK29" s="1" t="str">
        <f>""</f>
        <v/>
      </c>
      <c r="AL29" s="1" t="str">
        <f>""</f>
        <v/>
      </c>
      <c r="AM29" s="1" t="str">
        <f>""</f>
        <v/>
      </c>
      <c r="AN29" s="1" t="str">
        <f>""</f>
        <v/>
      </c>
      <c r="AO29" s="1" t="str">
        <f>""</f>
        <v/>
      </c>
      <c r="AP29" s="1" t="str">
        <f>""</f>
        <v/>
      </c>
      <c r="AQ29" s="1" t="str">
        <f>""</f>
        <v/>
      </c>
      <c r="AR29" s="1" t="str">
        <f>""</f>
        <v/>
      </c>
      <c r="AS29" s="1" t="str">
        <f>""</f>
        <v/>
      </c>
      <c r="AT29" s="1" t="str">
        <f>""</f>
        <v/>
      </c>
      <c r="AU29" s="1" t="str">
        <f>""</f>
        <v/>
      </c>
      <c r="AV29" s="1" t="str">
        <f>""</f>
        <v/>
      </c>
      <c r="AW29" s="1" t="str">
        <f>""</f>
        <v/>
      </c>
      <c r="AX29" s="1" t="str">
        <f>""</f>
        <v/>
      </c>
      <c r="AY29" s="1" t="str">
        <f>""</f>
        <v/>
      </c>
      <c r="AZ29" s="1" t="str">
        <f>""</f>
        <v/>
      </c>
      <c r="BA29" s="1" t="str">
        <f>""</f>
        <v/>
      </c>
    </row>
    <row r="30" spans="1:53" x14ac:dyDescent="0.25">
      <c r="A30" s="1" t="str">
        <f>"Parent-child relationship quality"</f>
        <v>Parent-child relationship quality</v>
      </c>
      <c r="B30" s="1" t="str">
        <f>""</f>
        <v/>
      </c>
      <c r="C30" s="1" t="str">
        <f>""</f>
        <v/>
      </c>
      <c r="D30" s="1" t="str">
        <f>""</f>
        <v/>
      </c>
      <c r="E30" s="1" t="str">
        <f>""</f>
        <v/>
      </c>
      <c r="F30" s="1" t="str">
        <f>""</f>
        <v/>
      </c>
      <c r="G30" s="1" t="str">
        <f>""</f>
        <v/>
      </c>
      <c r="H30" s="1" t="str">
        <f>""</f>
        <v/>
      </c>
      <c r="I30" s="1" t="str">
        <f>""</f>
        <v/>
      </c>
      <c r="J30" s="1" t="str">
        <f>""</f>
        <v/>
      </c>
      <c r="K30" s="1" t="str">
        <f>""</f>
        <v/>
      </c>
      <c r="L30" s="1" t="str">
        <f>""</f>
        <v/>
      </c>
      <c r="M30" s="1" t="str">
        <f>""</f>
        <v/>
      </c>
      <c r="N30" s="1" t="str">
        <f>""</f>
        <v/>
      </c>
      <c r="O30" s="1" t="str">
        <f>""</f>
        <v/>
      </c>
      <c r="P30" s="1" t="str">
        <f>""</f>
        <v/>
      </c>
      <c r="Q30" s="1" t="str">
        <f>""</f>
        <v/>
      </c>
      <c r="R30" s="1" t="str">
        <f>""</f>
        <v/>
      </c>
      <c r="S30" s="1" t="str">
        <f>""</f>
        <v/>
      </c>
      <c r="T30" s="1" t="str">
        <f>""</f>
        <v/>
      </c>
      <c r="U30" s="1" t="str">
        <f>""</f>
        <v/>
      </c>
      <c r="V30" s="1" t="str">
        <f>""</f>
        <v/>
      </c>
      <c r="W30" s="1" t="str">
        <f>""</f>
        <v/>
      </c>
      <c r="X30" s="1" t="str">
        <f>""</f>
        <v/>
      </c>
      <c r="Y30" s="1" t="str">
        <f>""</f>
        <v/>
      </c>
      <c r="Z30" s="1" t="str">
        <f>""</f>
        <v/>
      </c>
      <c r="AA30" s="1" t="str">
        <f>""</f>
        <v/>
      </c>
      <c r="AB30" s="1" t="str">
        <f>""</f>
        <v/>
      </c>
      <c r="AC30" s="1" t="str">
        <f>""</f>
        <v/>
      </c>
      <c r="AD30" s="1" t="str">
        <f>""</f>
        <v/>
      </c>
      <c r="AE30" s="1" t="str">
        <f>""</f>
        <v/>
      </c>
      <c r="AF30" s="1" t="str">
        <f>"13.752***"</f>
        <v>13.752***</v>
      </c>
      <c r="AG30" s="1" t="str">
        <f>"18.222***"</f>
        <v>18.222***</v>
      </c>
      <c r="AH30" s="1" t="str">
        <f>"8.220***"</f>
        <v>8.220***</v>
      </c>
      <c r="AI30" s="1" t="str">
        <f>"7.615***"</f>
        <v>7.615***</v>
      </c>
      <c r="AJ30" s="1" t="str">
        <f>"7.616***"</f>
        <v>7.616***</v>
      </c>
      <c r="AK30" s="1" t="str">
        <f>"7.140***"</f>
        <v>7.140***</v>
      </c>
      <c r="AL30" s="1" t="str">
        <f>"4.983***"</f>
        <v>4.983***</v>
      </c>
      <c r="AM30" s="1" t="str">
        <f>"5.936***"</f>
        <v>5.936***</v>
      </c>
      <c r="AN30" s="1" t="str">
        <f>"19.210***"</f>
        <v>19.210***</v>
      </c>
      <c r="AO30" s="1" t="str">
        <f>"19.904***"</f>
        <v>19.904***</v>
      </c>
      <c r="AP30" s="1" t="str">
        <f>"3.182***"</f>
        <v>3.182***</v>
      </c>
      <c r="AQ30" s="1" t="str">
        <f>"2.517***"</f>
        <v>2.517***</v>
      </c>
      <c r="AR30" s="1" t="str">
        <f>""</f>
        <v/>
      </c>
      <c r="AS30" s="1" t="str">
        <f>""</f>
        <v/>
      </c>
      <c r="AT30" s="1" t="str">
        <f>""</f>
        <v/>
      </c>
      <c r="AU30" s="1" t="str">
        <f>""</f>
        <v/>
      </c>
      <c r="AV30" s="1" t="str">
        <f>""</f>
        <v/>
      </c>
      <c r="AW30" s="1" t="str">
        <f>""</f>
        <v/>
      </c>
      <c r="AX30" s="1" t="str">
        <f>""</f>
        <v/>
      </c>
      <c r="AY30" s="1" t="str">
        <f>""</f>
        <v/>
      </c>
      <c r="AZ30" s="1" t="str">
        <f>""</f>
        <v/>
      </c>
      <c r="BA30" s="1" t="str">
        <f>""</f>
        <v/>
      </c>
    </row>
    <row r="31" spans="1:53" x14ac:dyDescent="0.25">
      <c r="A31" s="1" t="str">
        <f>""</f>
        <v/>
      </c>
      <c r="B31" s="1" t="str">
        <f>""</f>
        <v/>
      </c>
      <c r="C31" s="1" t="str">
        <f>""</f>
        <v/>
      </c>
      <c r="D31" s="1" t="str">
        <f>""</f>
        <v/>
      </c>
      <c r="E31" s="1" t="str">
        <f>""</f>
        <v/>
      </c>
      <c r="F31" s="1" t="str">
        <f>""</f>
        <v/>
      </c>
      <c r="G31" s="1" t="str">
        <f>""</f>
        <v/>
      </c>
      <c r="H31" s="1" t="str">
        <f>""</f>
        <v/>
      </c>
      <c r="I31" s="1" t="str">
        <f>""</f>
        <v/>
      </c>
      <c r="J31" s="1" t="str">
        <f>""</f>
        <v/>
      </c>
      <c r="K31" s="1" t="str">
        <f>""</f>
        <v/>
      </c>
      <c r="L31" s="1" t="str">
        <f>""</f>
        <v/>
      </c>
      <c r="M31" s="1" t="str">
        <f>""</f>
        <v/>
      </c>
      <c r="N31" s="1" t="str">
        <f>""</f>
        <v/>
      </c>
      <c r="O31" s="1" t="str">
        <f>""</f>
        <v/>
      </c>
      <c r="P31" s="1" t="str">
        <f>""</f>
        <v/>
      </c>
      <c r="Q31" s="1" t="str">
        <f>""</f>
        <v/>
      </c>
      <c r="R31" s="1" t="str">
        <f>""</f>
        <v/>
      </c>
      <c r="S31" s="1" t="str">
        <f>""</f>
        <v/>
      </c>
      <c r="T31" s="1" t="str">
        <f>""</f>
        <v/>
      </c>
      <c r="U31" s="1" t="str">
        <f>""</f>
        <v/>
      </c>
      <c r="V31" s="1" t="str">
        <f>""</f>
        <v/>
      </c>
      <c r="W31" s="1" t="str">
        <f>""</f>
        <v/>
      </c>
      <c r="X31" s="1" t="str">
        <f>""</f>
        <v/>
      </c>
      <c r="Y31" s="1" t="str">
        <f>""</f>
        <v/>
      </c>
      <c r="Z31" s="1" t="str">
        <f>""</f>
        <v/>
      </c>
      <c r="AA31" s="1" t="str">
        <f>""</f>
        <v/>
      </c>
      <c r="AB31" s="1" t="str">
        <f>""</f>
        <v/>
      </c>
      <c r="AC31" s="1" t="str">
        <f>""</f>
        <v/>
      </c>
      <c r="AD31" s="1" t="str">
        <f>""</f>
        <v/>
      </c>
      <c r="AE31" s="1" t="str">
        <f>""</f>
        <v/>
      </c>
      <c r="AF31" s="1" t="str">
        <f>"(3.204)"</f>
        <v>(3.204)</v>
      </c>
      <c r="AG31" s="1" t="str">
        <f>"(6.165)"</f>
        <v>(6.165)</v>
      </c>
      <c r="AH31" s="1" t="str">
        <f>"(1.435)"</f>
        <v>(1.435)</v>
      </c>
      <c r="AI31" s="1" t="str">
        <f>"(1.252)"</f>
        <v>(1.252)</v>
      </c>
      <c r="AJ31" s="1" t="str">
        <f>"(1.105)"</f>
        <v>(1.105)</v>
      </c>
      <c r="AK31" s="1" t="str">
        <f>"(0.837)"</f>
        <v>(0.837)</v>
      </c>
      <c r="AL31" s="1" t="str">
        <f>"(0.811)"</f>
        <v>(0.811)</v>
      </c>
      <c r="AM31" s="1" t="str">
        <f>"(0.688)"</f>
        <v>(0.688)</v>
      </c>
      <c r="AN31" s="1" t="str">
        <f>"(4.049)"</f>
        <v>(4.049)</v>
      </c>
      <c r="AO31" s="1" t="str">
        <f>"(4.600)"</f>
        <v>(4.600)</v>
      </c>
      <c r="AP31" s="1" t="str">
        <f>"(0.376)"</f>
        <v>(0.376)</v>
      </c>
      <c r="AQ31" s="1" t="str">
        <f>"(0.263)"</f>
        <v>(0.263)</v>
      </c>
      <c r="AR31" s="1" t="str">
        <f>""</f>
        <v/>
      </c>
      <c r="AS31" s="1" t="str">
        <f>""</f>
        <v/>
      </c>
      <c r="AT31" s="1" t="str">
        <f>""</f>
        <v/>
      </c>
      <c r="AU31" s="1" t="str">
        <f>""</f>
        <v/>
      </c>
      <c r="AV31" s="1" t="str">
        <f>""</f>
        <v/>
      </c>
      <c r="AW31" s="1" t="str">
        <f>""</f>
        <v/>
      </c>
      <c r="AX31" s="1" t="str">
        <f>""</f>
        <v/>
      </c>
      <c r="AY31" s="1" t="str">
        <f>""</f>
        <v/>
      </c>
      <c r="AZ31" s="1" t="str">
        <f>""</f>
        <v/>
      </c>
      <c r="BA31" s="1" t="str">
        <f>""</f>
        <v/>
      </c>
    </row>
    <row r="32" spans="1:53" x14ac:dyDescent="0.25">
      <c r="A32" s="1" t="str">
        <f>"Absence of childhood traumatic experiences"</f>
        <v>Absence of childhood traumatic experiences</v>
      </c>
      <c r="B32" s="1" t="str">
        <f>""</f>
        <v/>
      </c>
      <c r="C32" s="1" t="str">
        <f>""</f>
        <v/>
      </c>
      <c r="D32" s="1" t="str">
        <f>""</f>
        <v/>
      </c>
      <c r="E32" s="1" t="str">
        <f>""</f>
        <v/>
      </c>
      <c r="F32" s="1" t="str">
        <f>""</f>
        <v/>
      </c>
      <c r="G32" s="1" t="str">
        <f>""</f>
        <v/>
      </c>
      <c r="H32" s="1" t="str">
        <f>""</f>
        <v/>
      </c>
      <c r="I32" s="1" t="str">
        <f>""</f>
        <v/>
      </c>
      <c r="J32" s="1" t="str">
        <f>""</f>
        <v/>
      </c>
      <c r="K32" s="1" t="str">
        <f>""</f>
        <v/>
      </c>
      <c r="L32" s="1" t="str">
        <f>""</f>
        <v/>
      </c>
      <c r="M32" s="1" t="str">
        <f>""</f>
        <v/>
      </c>
      <c r="N32" s="1" t="str">
        <f>""</f>
        <v/>
      </c>
      <c r="O32" s="1" t="str">
        <f>""</f>
        <v/>
      </c>
      <c r="P32" s="1" t="str">
        <f>""</f>
        <v/>
      </c>
      <c r="Q32" s="1" t="str">
        <f>""</f>
        <v/>
      </c>
      <c r="R32" s="1" t="str">
        <f>""</f>
        <v/>
      </c>
      <c r="S32" s="1" t="str">
        <f>""</f>
        <v/>
      </c>
      <c r="T32" s="1" t="str">
        <f>""</f>
        <v/>
      </c>
      <c r="U32" s="1" t="str">
        <f>""</f>
        <v/>
      </c>
      <c r="V32" s="1" t="str">
        <f>""</f>
        <v/>
      </c>
      <c r="W32" s="1" t="str">
        <f>""</f>
        <v/>
      </c>
      <c r="X32" s="1" t="str">
        <f>""</f>
        <v/>
      </c>
      <c r="Y32" s="1" t="str">
        <f>""</f>
        <v/>
      </c>
      <c r="Z32" s="1" t="str">
        <f>""</f>
        <v/>
      </c>
      <c r="AA32" s="1" t="str">
        <f>""</f>
        <v/>
      </c>
      <c r="AB32" s="1" t="str">
        <f>""</f>
        <v/>
      </c>
      <c r="AC32" s="1" t="str">
        <f>""</f>
        <v/>
      </c>
      <c r="AD32" s="1" t="str">
        <f>""</f>
        <v/>
      </c>
      <c r="AE32" s="1" t="str">
        <f>""</f>
        <v/>
      </c>
      <c r="AF32" s="1" t="str">
        <f>""</f>
        <v/>
      </c>
      <c r="AG32" s="1" t="str">
        <f>""</f>
        <v/>
      </c>
      <c r="AH32" s="1" t="str">
        <f>""</f>
        <v/>
      </c>
      <c r="AI32" s="1" t="str">
        <f>""</f>
        <v/>
      </c>
      <c r="AJ32" s="1" t="str">
        <f>""</f>
        <v/>
      </c>
      <c r="AK32" s="1" t="str">
        <f>""</f>
        <v/>
      </c>
      <c r="AL32" s="1" t="str">
        <f>""</f>
        <v/>
      </c>
      <c r="AM32" s="1" t="str">
        <f>""</f>
        <v/>
      </c>
      <c r="AN32" s="1" t="str">
        <f>""</f>
        <v/>
      </c>
      <c r="AO32" s="1" t="str">
        <f>""</f>
        <v/>
      </c>
      <c r="AP32" s="1" t="str">
        <f>""</f>
        <v/>
      </c>
      <c r="AQ32" s="1" t="str">
        <f>""</f>
        <v/>
      </c>
      <c r="AR32" s="1" t="str">
        <f>"2243.899***"</f>
        <v>2243.899***</v>
      </c>
      <c r="AS32" s="1" t="str">
        <f>"1626.599***"</f>
        <v>1626.599***</v>
      </c>
      <c r="AT32" s="1" t="str">
        <f>"26989.114***"</f>
        <v>26989.114***</v>
      </c>
      <c r="AU32" s="1" t="str">
        <f>"16196.607***"</f>
        <v>16196.607***</v>
      </c>
      <c r="AV32" s="1" t="str">
        <f>"706.610***"</f>
        <v>706.610***</v>
      </c>
      <c r="AW32" s="1" t="str">
        <f>"1076.446***"</f>
        <v>1076.446***</v>
      </c>
      <c r="AX32" s="1" t="str">
        <f>"172.249***"</f>
        <v>172.249***</v>
      </c>
      <c r="AY32" s="1" t="str">
        <f>"206.177***"</f>
        <v>206.177***</v>
      </c>
      <c r="AZ32" s="1" t="str">
        <f>"245.636***"</f>
        <v>245.636***</v>
      </c>
      <c r="BA32" s="1" t="str">
        <f>"283.179***"</f>
        <v>283.179***</v>
      </c>
    </row>
    <row r="33" spans="1:53" x14ac:dyDescent="0.25">
      <c r="A33" s="1" t="str">
        <f>""</f>
        <v/>
      </c>
      <c r="B33" s="1" t="str">
        <f>""</f>
        <v/>
      </c>
      <c r="C33" s="1" t="str">
        <f>""</f>
        <v/>
      </c>
      <c r="D33" s="1" t="str">
        <f>""</f>
        <v/>
      </c>
      <c r="E33" s="1" t="str">
        <f>""</f>
        <v/>
      </c>
      <c r="F33" s="1" t="str">
        <f>""</f>
        <v/>
      </c>
      <c r="G33" s="1" t="str">
        <f>""</f>
        <v/>
      </c>
      <c r="H33" s="1" t="str">
        <f>""</f>
        <v/>
      </c>
      <c r="I33" s="1" t="str">
        <f>""</f>
        <v/>
      </c>
      <c r="J33" s="1" t="str">
        <f>""</f>
        <v/>
      </c>
      <c r="K33" s="1" t="str">
        <f>""</f>
        <v/>
      </c>
      <c r="L33" s="1" t="str">
        <f>""</f>
        <v/>
      </c>
      <c r="M33" s="1" t="str">
        <f>""</f>
        <v/>
      </c>
      <c r="N33" s="1" t="str">
        <f>""</f>
        <v/>
      </c>
      <c r="O33" s="1" t="str">
        <f>""</f>
        <v/>
      </c>
      <c r="P33" s="1" t="str">
        <f>""</f>
        <v/>
      </c>
      <c r="Q33" s="1" t="str">
        <f>""</f>
        <v/>
      </c>
      <c r="R33" s="1" t="str">
        <f>""</f>
        <v/>
      </c>
      <c r="S33" s="1" t="str">
        <f>""</f>
        <v/>
      </c>
      <c r="T33" s="1" t="str">
        <f>""</f>
        <v/>
      </c>
      <c r="U33" s="1" t="str">
        <f>""</f>
        <v/>
      </c>
      <c r="V33" s="1" t="str">
        <f>""</f>
        <v/>
      </c>
      <c r="W33" s="1" t="str">
        <f>""</f>
        <v/>
      </c>
      <c r="X33" s="1" t="str">
        <f>""</f>
        <v/>
      </c>
      <c r="Y33" s="1" t="str">
        <f>""</f>
        <v/>
      </c>
      <c r="Z33" s="1" t="str">
        <f>""</f>
        <v/>
      </c>
      <c r="AA33" s="1" t="str">
        <f>""</f>
        <v/>
      </c>
      <c r="AB33" s="1" t="str">
        <f>""</f>
        <v/>
      </c>
      <c r="AC33" s="1" t="str">
        <f>""</f>
        <v/>
      </c>
      <c r="AD33" s="1" t="str">
        <f>""</f>
        <v/>
      </c>
      <c r="AE33" s="1" t="str">
        <f>""</f>
        <v/>
      </c>
      <c r="AF33" s="1" t="str">
        <f>""</f>
        <v/>
      </c>
      <c r="AG33" s="1" t="str">
        <f>""</f>
        <v/>
      </c>
      <c r="AH33" s="1" t="str">
        <f>""</f>
        <v/>
      </c>
      <c r="AI33" s="1" t="str">
        <f>""</f>
        <v/>
      </c>
      <c r="AJ33" s="1" t="str">
        <f>""</f>
        <v/>
      </c>
      <c r="AK33" s="1" t="str">
        <f>""</f>
        <v/>
      </c>
      <c r="AL33" s="1" t="str">
        <f>""</f>
        <v/>
      </c>
      <c r="AM33" s="1" t="str">
        <f>""</f>
        <v/>
      </c>
      <c r="AN33" s="1" t="str">
        <f>""</f>
        <v/>
      </c>
      <c r="AO33" s="1" t="str">
        <f>""</f>
        <v/>
      </c>
      <c r="AP33" s="1" t="str">
        <f>""</f>
        <v/>
      </c>
      <c r="AQ33" s="1" t="str">
        <f>""</f>
        <v/>
      </c>
      <c r="AR33" s="1" t="str">
        <f>"(1957.637)"</f>
        <v>(1957.637)</v>
      </c>
      <c r="AS33" s="1" t="str">
        <f>"(1955.629)"</f>
        <v>(1955.629)</v>
      </c>
      <c r="AT33" s="1" t="str">
        <f>"(20682.687)"</f>
        <v>(20682.687)</v>
      </c>
      <c r="AU33" s="1" t="str">
        <f>"(12706.810)"</f>
        <v>(12706.810)</v>
      </c>
      <c r="AV33" s="1" t="str">
        <f>"(371.974)"</f>
        <v>(371.974)</v>
      </c>
      <c r="AW33" s="1" t="str">
        <f>"(764.323)"</f>
        <v>(764.323)</v>
      </c>
      <c r="AX33" s="1" t="str">
        <f>"(108.511)"</f>
        <v>(108.511)</v>
      </c>
      <c r="AY33" s="1" t="str">
        <f>"(114.374)"</f>
        <v>(114.374)</v>
      </c>
      <c r="AZ33" s="1" t="str">
        <f>"(120.067)"</f>
        <v>(120.067)</v>
      </c>
      <c r="BA33" s="1" t="str">
        <f>"(188.769)"</f>
        <v>(188.769)</v>
      </c>
    </row>
    <row r="34" spans="1:53" x14ac:dyDescent="0.25">
      <c r="A34" s="1" t="str">
        <f>"Parent is married"</f>
        <v>Parent is married</v>
      </c>
      <c r="B34" s="1" t="str">
        <f>"0.971"</f>
        <v>0.971</v>
      </c>
      <c r="C34" s="1" t="str">
        <f>"0.926"</f>
        <v>0.926</v>
      </c>
      <c r="D34" s="1" t="str">
        <f>"1.284"</f>
        <v>1.284</v>
      </c>
      <c r="E34" s="1" t="str">
        <f>"1.289"</f>
        <v>1.289</v>
      </c>
      <c r="F34" s="1" t="str">
        <f>"1.185"</f>
        <v>1.185</v>
      </c>
      <c r="G34" s="1" t="str">
        <f>"1.142"</f>
        <v>1.142</v>
      </c>
      <c r="H34" s="1" t="str">
        <f>"0.798"</f>
        <v>0.798</v>
      </c>
      <c r="I34" s="1" t="str">
        <f>"0.759"</f>
        <v>0.759</v>
      </c>
      <c r="J34" s="1" t="str">
        <f>"1.111"</f>
        <v>1.111</v>
      </c>
      <c r="K34" s="1" t="str">
        <f>"1.229"</f>
        <v>1.229</v>
      </c>
      <c r="L34" s="1" t="str">
        <f>"0.780"</f>
        <v>0.780</v>
      </c>
      <c r="M34" s="1" t="str">
        <f>"0.738"</f>
        <v>0.738</v>
      </c>
      <c r="N34" s="1" t="str">
        <f>"1.183"</f>
        <v>1.183</v>
      </c>
      <c r="O34" s="1" t="str">
        <f>"1.155"</f>
        <v>1.155</v>
      </c>
      <c r="P34" s="1" t="str">
        <f>"2.055"</f>
        <v>2.055</v>
      </c>
      <c r="Q34" s="1" t="str">
        <f>"2.055"</f>
        <v>2.055</v>
      </c>
      <c r="R34" s="1" t="str">
        <f>"0.771"</f>
        <v>0.771</v>
      </c>
      <c r="S34" s="1" t="str">
        <f>"0.749"</f>
        <v>0.749</v>
      </c>
      <c r="T34" s="1" t="str">
        <f>"0.851"</f>
        <v>0.851</v>
      </c>
      <c r="U34" s="1" t="str">
        <f>"0.908"</f>
        <v>0.908</v>
      </c>
      <c r="V34" s="1" t="str">
        <f>"0.765"</f>
        <v>0.765</v>
      </c>
      <c r="W34" s="1" t="str">
        <f>"0.754"</f>
        <v>0.754</v>
      </c>
      <c r="X34" s="1" t="str">
        <f>"2.235**"</f>
        <v>2.235**</v>
      </c>
      <c r="Y34" s="1" t="str">
        <f>"2.191**"</f>
        <v>2.191**</v>
      </c>
      <c r="Z34" s="1" t="str">
        <f>"1.445"</f>
        <v>1.445</v>
      </c>
      <c r="AA34" s="1" t="str">
        <f>"1.380"</f>
        <v>1.380</v>
      </c>
      <c r="AB34" s="1" t="str">
        <f>"1.013"</f>
        <v>1.013</v>
      </c>
      <c r="AC34" s="1" t="str">
        <f>"0.924"</f>
        <v>0.924</v>
      </c>
      <c r="AD34" s="1" t="str">
        <f>"1.142"</f>
        <v>1.142</v>
      </c>
      <c r="AE34" s="1" t="str">
        <f>"1.034"</f>
        <v>1.034</v>
      </c>
      <c r="AF34" s="1" t="str">
        <f>"0.886"</f>
        <v>0.886</v>
      </c>
      <c r="AG34" s="1" t="str">
        <f>"0.908"</f>
        <v>0.908</v>
      </c>
      <c r="AH34" s="1" t="str">
        <f>"1.281"</f>
        <v>1.281</v>
      </c>
      <c r="AI34" s="1" t="str">
        <f>"1.295"</f>
        <v>1.295</v>
      </c>
      <c r="AJ34" s="1" t="str">
        <f>"1.449"</f>
        <v>1.449</v>
      </c>
      <c r="AK34" s="1" t="str">
        <f>"1.433"</f>
        <v>1.433</v>
      </c>
      <c r="AL34" s="1" t="str">
        <f>"0.864"</f>
        <v>0.864</v>
      </c>
      <c r="AM34" s="1" t="str">
        <f>"0.878"</f>
        <v>0.878</v>
      </c>
      <c r="AN34" s="1" t="str">
        <f>"0.908"</f>
        <v>0.908</v>
      </c>
      <c r="AO34" s="1" t="str">
        <f>"0.888"</f>
        <v>0.888</v>
      </c>
      <c r="AP34" s="1" t="str">
        <f>"2.219**"</f>
        <v>2.219**</v>
      </c>
      <c r="AQ34" s="1" t="str">
        <f>"2.276**"</f>
        <v>2.276**</v>
      </c>
      <c r="AR34" s="1" t="str">
        <f>"0.703"</f>
        <v>0.703</v>
      </c>
      <c r="AS34" s="1" t="str">
        <f>"0.685"</f>
        <v>0.685</v>
      </c>
      <c r="AT34" s="1" t="str">
        <f>"0.362**"</f>
        <v>0.362**</v>
      </c>
      <c r="AU34" s="1" t="str">
        <f>"0.347**"</f>
        <v>0.347**</v>
      </c>
      <c r="AV34" s="1" t="str">
        <f>"1.039"</f>
        <v>1.039</v>
      </c>
      <c r="AW34" s="1" t="str">
        <f>"1.006"</f>
        <v>1.006</v>
      </c>
      <c r="AX34" s="1" t="str">
        <f>"3.962***"</f>
        <v>3.962***</v>
      </c>
      <c r="AY34" s="1" t="str">
        <f>"3.967***"</f>
        <v>3.967***</v>
      </c>
      <c r="AZ34" s="1" t="str">
        <f>"0.995"</f>
        <v>0.995</v>
      </c>
      <c r="BA34" s="1" t="str">
        <f>"0.975"</f>
        <v>0.975</v>
      </c>
    </row>
    <row r="35" spans="1:53" x14ac:dyDescent="0.25">
      <c r="A35" s="1" t="str">
        <f>""</f>
        <v/>
      </c>
      <c r="B35" s="1" t="str">
        <f>"(0.502)"</f>
        <v>(0.502)</v>
      </c>
      <c r="C35" s="1" t="str">
        <f>"(0.469)"</f>
        <v>(0.469)</v>
      </c>
      <c r="D35" s="1" t="str">
        <f>"(0.528)"</f>
        <v>(0.528)</v>
      </c>
      <c r="E35" s="1" t="str">
        <f>"(0.531)"</f>
        <v>(0.531)</v>
      </c>
      <c r="F35" s="1" t="str">
        <f>"(0.421)"</f>
        <v>(0.421)</v>
      </c>
      <c r="G35" s="1" t="str">
        <f>"(0.404)"</f>
        <v>(0.404)</v>
      </c>
      <c r="H35" s="1" t="str">
        <f>"(0.262)"</f>
        <v>(0.262)</v>
      </c>
      <c r="I35" s="1" t="str">
        <f>"(0.248)"</f>
        <v>(0.248)</v>
      </c>
      <c r="J35" s="1" t="str">
        <f>"(0.341)"</f>
        <v>(0.341)</v>
      </c>
      <c r="K35" s="1" t="str">
        <f>"(0.354)"</f>
        <v>(0.354)</v>
      </c>
      <c r="L35" s="1" t="str">
        <f>"(0.502)"</f>
        <v>(0.502)</v>
      </c>
      <c r="M35" s="1" t="str">
        <f>"(0.453)"</f>
        <v>(0.453)</v>
      </c>
      <c r="N35" s="1" t="str">
        <f>"(0.280)"</f>
        <v>(0.280)</v>
      </c>
      <c r="O35" s="1" t="str">
        <f>"(0.272)"</f>
        <v>(0.272)</v>
      </c>
      <c r="P35" s="1" t="str">
        <f>"(0.987)"</f>
        <v>(0.987)</v>
      </c>
      <c r="Q35" s="1" t="str">
        <f>"(0.952)"</f>
        <v>(0.952)</v>
      </c>
      <c r="R35" s="1" t="str">
        <f>"(0.189)"</f>
        <v>(0.189)</v>
      </c>
      <c r="S35" s="1" t="str">
        <f>"(0.191)"</f>
        <v>(0.191)</v>
      </c>
      <c r="T35" s="1" t="str">
        <f>"(0.201)"</f>
        <v>(0.201)</v>
      </c>
      <c r="U35" s="1" t="str">
        <f>"(0.219)"</f>
        <v>(0.219)</v>
      </c>
      <c r="V35" s="1" t="str">
        <f>"(0.180)"</f>
        <v>(0.180)</v>
      </c>
      <c r="W35" s="1" t="str">
        <f>"(0.178)"</f>
        <v>(0.178)</v>
      </c>
      <c r="X35" s="1" t="str">
        <f>"(0.585)"</f>
        <v>(0.585)</v>
      </c>
      <c r="Y35" s="1" t="str">
        <f>"(0.555)"</f>
        <v>(0.555)</v>
      </c>
      <c r="Z35" s="1" t="str">
        <f>"(0.340)"</f>
        <v>(0.340)</v>
      </c>
      <c r="AA35" s="1" t="str">
        <f>"(0.320)"</f>
        <v>(0.320)</v>
      </c>
      <c r="AB35" s="1" t="str">
        <f>"(0.222)"</f>
        <v>(0.222)</v>
      </c>
      <c r="AC35" s="1" t="str">
        <f>"(0.207)"</f>
        <v>(0.207)</v>
      </c>
      <c r="AD35" s="1" t="str">
        <f>"(0.259)"</f>
        <v>(0.259)</v>
      </c>
      <c r="AE35" s="1" t="str">
        <f>"(0.240)"</f>
        <v>(0.240)</v>
      </c>
      <c r="AF35" s="1" t="str">
        <f>"(0.411)"</f>
        <v>(0.411)</v>
      </c>
      <c r="AG35" s="1" t="str">
        <f>"(0.412)"</f>
        <v>(0.412)</v>
      </c>
      <c r="AH35" s="1" t="str">
        <f>"(0.463)"</f>
        <v>(0.463)</v>
      </c>
      <c r="AI35" s="1" t="str">
        <f>"(0.483)"</f>
        <v>(0.483)</v>
      </c>
      <c r="AJ35" s="1" t="str">
        <f>"(0.348)"</f>
        <v>(0.348)</v>
      </c>
      <c r="AK35" s="1" t="str">
        <f>"(0.342)"</f>
        <v>(0.342)</v>
      </c>
      <c r="AL35" s="1" t="str">
        <f>"(0.231)"</f>
        <v>(0.231)</v>
      </c>
      <c r="AM35" s="1" t="str">
        <f>"(0.227)"</f>
        <v>(0.227)</v>
      </c>
      <c r="AN35" s="1" t="str">
        <f>"(0.327)"</f>
        <v>(0.327)</v>
      </c>
      <c r="AO35" s="1" t="str">
        <f>"(0.308)"</f>
        <v>(0.308)</v>
      </c>
      <c r="AP35" s="1" t="str">
        <f>"(0.589)"</f>
        <v>(0.589)</v>
      </c>
      <c r="AQ35" s="1" t="str">
        <f>"(0.594)"</f>
        <v>(0.594)</v>
      </c>
      <c r="AR35" s="1" t="str">
        <f>"(0.336)"</f>
        <v>(0.336)</v>
      </c>
      <c r="AS35" s="1" t="str">
        <f>"(0.336)"</f>
        <v>(0.336)</v>
      </c>
      <c r="AT35" s="1" t="str">
        <f>"(0.132)"</f>
        <v>(0.132)</v>
      </c>
      <c r="AU35" s="1" t="str">
        <f>"(0.127)"</f>
        <v>(0.127)</v>
      </c>
      <c r="AV35" s="1" t="str">
        <f>"(0.335)"</f>
        <v>(0.335)</v>
      </c>
      <c r="AW35" s="1" t="str">
        <f>"(0.316)"</f>
        <v>(0.316)</v>
      </c>
      <c r="AX35" s="1" t="str">
        <f>"(1.568)"</f>
        <v>(1.568)</v>
      </c>
      <c r="AY35" s="1" t="str">
        <f>"(1.596)"</f>
        <v>(1.596)</v>
      </c>
      <c r="AZ35" s="1" t="str">
        <f>"(0.392)"</f>
        <v>(0.392)</v>
      </c>
      <c r="BA35" s="1" t="str">
        <f>"(0.380)"</f>
        <v>(0.380)</v>
      </c>
    </row>
    <row r="36" spans="1:53" x14ac:dyDescent="0.25">
      <c r="A36" s="1" t="str">
        <f>"Parent is sole caretaker"</f>
        <v>Parent is sole caretaker</v>
      </c>
      <c r="B36" s="1" t="str">
        <f>"1.754"</f>
        <v>1.754</v>
      </c>
      <c r="C36" s="1" t="str">
        <f>"1.893"</f>
        <v>1.893</v>
      </c>
      <c r="D36" s="1" t="str">
        <f>"1.944"</f>
        <v>1.944</v>
      </c>
      <c r="E36" s="1" t="str">
        <f>"2.023"</f>
        <v>2.023</v>
      </c>
      <c r="F36" s="1" t="str">
        <f>"0.816"</f>
        <v>0.816</v>
      </c>
      <c r="G36" s="1" t="str">
        <f>"0.837"</f>
        <v>0.837</v>
      </c>
      <c r="H36" s="1" t="str">
        <f>"2.072"</f>
        <v>2.072</v>
      </c>
      <c r="I36" s="1" t="str">
        <f>"1.938"</f>
        <v>1.938</v>
      </c>
      <c r="J36" s="1" t="str">
        <f>"1.058"</f>
        <v>1.058</v>
      </c>
      <c r="K36" s="1" t="str">
        <f>"1.287"</f>
        <v>1.287</v>
      </c>
      <c r="L36" s="1" t="str">
        <f>"1.104"</f>
        <v>1.104</v>
      </c>
      <c r="M36" s="1" t="str">
        <f>"1.352"</f>
        <v>1.352</v>
      </c>
      <c r="N36" s="1" t="str">
        <f>"1.034"</f>
        <v>1.034</v>
      </c>
      <c r="O36" s="1" t="str">
        <f>"1.005"</f>
        <v>1.005</v>
      </c>
      <c r="P36" s="1" t="str">
        <f>"2.728"</f>
        <v>2.728</v>
      </c>
      <c r="Q36" s="1" t="str">
        <f>"2.481"</f>
        <v>2.481</v>
      </c>
      <c r="R36" s="1" t="str">
        <f>"1.067"</f>
        <v>1.067</v>
      </c>
      <c r="S36" s="1" t="str">
        <f>"0.867"</f>
        <v>0.867</v>
      </c>
      <c r="T36" s="1" t="str">
        <f>"0.431*"</f>
        <v>0.431*</v>
      </c>
      <c r="U36" s="1" t="str">
        <f>"0.509"</f>
        <v>0.509</v>
      </c>
      <c r="V36" s="1" t="str">
        <f>"0.635"</f>
        <v>0.635</v>
      </c>
      <c r="W36" s="1" t="str">
        <f>"0.632"</f>
        <v>0.632</v>
      </c>
      <c r="X36" s="1" t="str">
        <f>"1.474"</f>
        <v>1.474</v>
      </c>
      <c r="Y36" s="1" t="str">
        <f>"1.383"</f>
        <v>1.383</v>
      </c>
      <c r="Z36" s="1" t="str">
        <f>"1.107"</f>
        <v>1.107</v>
      </c>
      <c r="AA36" s="1" t="str">
        <f>"0.970"</f>
        <v>0.970</v>
      </c>
      <c r="AB36" s="1" t="str">
        <f>"1.492"</f>
        <v>1.492</v>
      </c>
      <c r="AC36" s="1" t="str">
        <f>"1.151"</f>
        <v>1.151</v>
      </c>
      <c r="AD36" s="1" t="str">
        <f>"1.340"</f>
        <v>1.340</v>
      </c>
      <c r="AE36" s="1" t="str">
        <f>"1.095"</f>
        <v>1.095</v>
      </c>
      <c r="AF36" s="1" t="str">
        <f>"0.865"</f>
        <v>0.865</v>
      </c>
      <c r="AG36" s="1" t="str">
        <f>"0.884"</f>
        <v>0.884</v>
      </c>
      <c r="AH36" s="1" t="str">
        <f>"1.445"</f>
        <v>1.445</v>
      </c>
      <c r="AI36" s="1" t="str">
        <f>"1.409"</f>
        <v>1.409</v>
      </c>
      <c r="AJ36" s="1" t="str">
        <f>"1.224"</f>
        <v>1.224</v>
      </c>
      <c r="AK36" s="1" t="str">
        <f>"1.210"</f>
        <v>1.210</v>
      </c>
      <c r="AL36" s="1" t="str">
        <f>"0.727"</f>
        <v>0.727</v>
      </c>
      <c r="AM36" s="1" t="str">
        <f>"0.750"</f>
        <v>0.750</v>
      </c>
      <c r="AN36" s="1" t="str">
        <f>"0.502"</f>
        <v>0.502</v>
      </c>
      <c r="AO36" s="1" t="str">
        <f>"0.523"</f>
        <v>0.523</v>
      </c>
      <c r="AP36" s="1" t="str">
        <f>"1.000"</f>
        <v>1.000</v>
      </c>
      <c r="AQ36" s="1" t="str">
        <f>"1.000"</f>
        <v>1.000</v>
      </c>
      <c r="AR36" s="1" t="str">
        <f>"0.519"</f>
        <v>0.519</v>
      </c>
      <c r="AS36" s="1" t="str">
        <f>"0.500"</f>
        <v>0.500</v>
      </c>
      <c r="AT36" s="1" t="str">
        <f>"3.048"</f>
        <v>3.048</v>
      </c>
      <c r="AU36" s="1" t="str">
        <f>"2.654"</f>
        <v>2.654</v>
      </c>
      <c r="AV36" s="1" t="str">
        <f>"0.247**"</f>
        <v>0.247**</v>
      </c>
      <c r="AW36" s="1" t="str">
        <f>"0.245**"</f>
        <v>0.245**</v>
      </c>
      <c r="AX36" s="1" t="str">
        <f>"0.530"</f>
        <v>0.530</v>
      </c>
      <c r="AY36" s="1" t="str">
        <f>"0.510"</f>
        <v>0.510</v>
      </c>
      <c r="AZ36" s="1" t="str">
        <f>"1.782"</f>
        <v>1.782</v>
      </c>
      <c r="BA36" s="1" t="str">
        <f>"1.793"</f>
        <v>1.793</v>
      </c>
    </row>
    <row r="37" spans="1:53" x14ac:dyDescent="0.25">
      <c r="A37" s="1" t="str">
        <f>""</f>
        <v/>
      </c>
      <c r="B37" s="1" t="str">
        <f>"(0.918)"</f>
        <v>(0.918)</v>
      </c>
      <c r="C37" s="1" t="str">
        <f>"(1.011)"</f>
        <v>(1.011)</v>
      </c>
      <c r="D37" s="1" t="str">
        <f>"(1.203)"</f>
        <v>(1.203)</v>
      </c>
      <c r="E37" s="1" t="str">
        <f>"(1.259)"</f>
        <v>(1.259)</v>
      </c>
      <c r="F37" s="1" t="str">
        <f>"(0.521)"</f>
        <v>(0.521)</v>
      </c>
      <c r="G37" s="1" t="str">
        <f>"(0.522)"</f>
        <v>(0.522)</v>
      </c>
      <c r="H37" s="1" t="str">
        <f>"(1.009)"</f>
        <v>(1.009)</v>
      </c>
      <c r="I37" s="1" t="str">
        <f>"(0.949)"</f>
        <v>(0.949)</v>
      </c>
      <c r="J37" s="1" t="str">
        <f>"(0.466)"</f>
        <v>(0.466)</v>
      </c>
      <c r="K37" s="1" t="str">
        <f>"(0.581)"</f>
        <v>(0.581)</v>
      </c>
      <c r="L37" s="1" t="str">
        <f>"(0.745)"</f>
        <v>(0.745)</v>
      </c>
      <c r="M37" s="1" t="str">
        <f>"(0.950)"</f>
        <v>(0.950)</v>
      </c>
      <c r="N37" s="1" t="str">
        <f>"(0.333)"</f>
        <v>(0.333)</v>
      </c>
      <c r="O37" s="1" t="str">
        <f>"(0.321)"</f>
        <v>(0.321)</v>
      </c>
      <c r="P37" s="1" t="str">
        <f>"(2.988)"</f>
        <v>(2.988)</v>
      </c>
      <c r="Q37" s="1" t="str">
        <f>"(2.329)"</f>
        <v>(2.329)</v>
      </c>
      <c r="R37" s="1" t="str">
        <f>"(0.425)"</f>
        <v>(0.425)</v>
      </c>
      <c r="S37" s="1" t="str">
        <f>"(0.342)"</f>
        <v>(0.342)</v>
      </c>
      <c r="T37" s="1" t="str">
        <f>"(0.178)"</f>
        <v>(0.178)</v>
      </c>
      <c r="U37" s="1" t="str">
        <f>"(0.208)"</f>
        <v>(0.208)</v>
      </c>
      <c r="V37" s="1" t="str">
        <f>"(0.241)"</f>
        <v>(0.241)</v>
      </c>
      <c r="W37" s="1" t="str">
        <f>"(0.235)"</f>
        <v>(0.235)</v>
      </c>
      <c r="X37" s="1" t="str">
        <f>"(0.520)"</f>
        <v>(0.520)</v>
      </c>
      <c r="Y37" s="1" t="str">
        <f>"(0.464)"</f>
        <v>(0.464)</v>
      </c>
      <c r="Z37" s="1" t="str">
        <f>"(0.413)"</f>
        <v>(0.413)</v>
      </c>
      <c r="AA37" s="1" t="str">
        <f>"(0.310)"</f>
        <v>(0.310)</v>
      </c>
      <c r="AB37" s="1" t="str">
        <f>"(0.530)"</f>
        <v>(0.530)</v>
      </c>
      <c r="AC37" s="1" t="str">
        <f>"(0.370)"</f>
        <v>(0.370)</v>
      </c>
      <c r="AD37" s="1" t="str">
        <f>"(0.496)"</f>
        <v>(0.496)</v>
      </c>
      <c r="AE37" s="1" t="str">
        <f>"(0.367)"</f>
        <v>(0.367)</v>
      </c>
      <c r="AF37" s="1" t="str">
        <f>"(0.617)"</f>
        <v>(0.617)</v>
      </c>
      <c r="AG37" s="1" t="str">
        <f>"(0.643)"</f>
        <v>(0.643)</v>
      </c>
      <c r="AH37" s="1" t="str">
        <f>"(0.695)"</f>
        <v>(0.695)</v>
      </c>
      <c r="AI37" s="1" t="str">
        <f>"(0.680)"</f>
        <v>(0.680)</v>
      </c>
      <c r="AJ37" s="1" t="str">
        <f>"(0.450)"</f>
        <v>(0.450)</v>
      </c>
      <c r="AK37" s="1" t="str">
        <f>"(0.438)"</f>
        <v>(0.438)</v>
      </c>
      <c r="AL37" s="1" t="str">
        <f>"(0.287)"</f>
        <v>(0.287)</v>
      </c>
      <c r="AM37" s="1" t="str">
        <f>"(0.293)"</f>
        <v>(0.293)</v>
      </c>
      <c r="AN37" s="1" t="str">
        <f>"(0.279)"</f>
        <v>(0.279)</v>
      </c>
      <c r="AO37" s="1" t="str">
        <f>"(0.288)"</f>
        <v>(0.288)</v>
      </c>
      <c r="AP37" s="1" t="str">
        <f>"(.)"</f>
        <v>(.)</v>
      </c>
      <c r="AQ37" s="1" t="str">
        <f>"(.)"</f>
        <v>(.)</v>
      </c>
      <c r="AR37" s="1" t="str">
        <f>"(0.278)"</f>
        <v>(0.278)</v>
      </c>
      <c r="AS37" s="1" t="str">
        <f>"(0.273)"</f>
        <v>(0.273)</v>
      </c>
      <c r="AT37" s="1" t="str">
        <f>"(1.831)"</f>
        <v>(1.831)</v>
      </c>
      <c r="AU37" s="1" t="str">
        <f>"(1.534)"</f>
        <v>(1.534)</v>
      </c>
      <c r="AV37" s="1" t="str">
        <f>"(0.128)"</f>
        <v>(0.128)</v>
      </c>
      <c r="AW37" s="1" t="str">
        <f>"(0.123)"</f>
        <v>(0.123)</v>
      </c>
      <c r="AX37" s="1" t="str">
        <f>"(0.248)"</f>
        <v>(0.248)</v>
      </c>
      <c r="AY37" s="1" t="str">
        <f>"(0.248)"</f>
        <v>(0.248)</v>
      </c>
      <c r="AZ37" s="1" t="str">
        <f>"(0.724)"</f>
        <v>(0.724)</v>
      </c>
      <c r="BA37" s="1" t="str">
        <f>"(0.774)"</f>
        <v>(0.774)</v>
      </c>
    </row>
    <row r="38" spans="1:53" x14ac:dyDescent="0.25">
      <c r="A38" s="1" t="str">
        <f>"relationship with child: biological parent"</f>
        <v>relationship with child: biological parent</v>
      </c>
      <c r="B38" s="1" t="str">
        <f>"0.363"</f>
        <v>0.363</v>
      </c>
      <c r="C38" s="1" t="str">
        <f>"0.340"</f>
        <v>0.340</v>
      </c>
      <c r="D38" s="1" t="str">
        <f>"0.464"</f>
        <v>0.464</v>
      </c>
      <c r="E38" s="1" t="str">
        <f>"0.482"</f>
        <v>0.482</v>
      </c>
      <c r="F38" s="1" t="str">
        <f>"0.717"</f>
        <v>0.717</v>
      </c>
      <c r="G38" s="1" t="str">
        <f>"0.716"</f>
        <v>0.716</v>
      </c>
      <c r="H38" s="1" t="str">
        <f>"1.343"</f>
        <v>1.343</v>
      </c>
      <c r="I38" s="1" t="str">
        <f>"1.272"</f>
        <v>1.272</v>
      </c>
      <c r="J38" s="1" t="str">
        <f>"0.790"</f>
        <v>0.790</v>
      </c>
      <c r="K38" s="1" t="str">
        <f>"0.911"</f>
        <v>0.911</v>
      </c>
      <c r="L38" s="1" t="str">
        <f>"0.492"</f>
        <v>0.492</v>
      </c>
      <c r="M38" s="1" t="str">
        <f>"0.444"</f>
        <v>0.444</v>
      </c>
      <c r="N38" s="1" t="str">
        <f>"0.927"</f>
        <v>0.927</v>
      </c>
      <c r="O38" s="1" t="str">
        <f>"0.915"</f>
        <v>0.915</v>
      </c>
      <c r="P38" s="1" t="str">
        <f>"1.765"</f>
        <v>1.765</v>
      </c>
      <c r="Q38" s="1" t="str">
        <f>"1.369"</f>
        <v>1.369</v>
      </c>
      <c r="R38" s="1" t="str">
        <f>"1.162"</f>
        <v>1.162</v>
      </c>
      <c r="S38" s="1" t="str">
        <f>"1.031"</f>
        <v>1.031</v>
      </c>
      <c r="T38" s="1" t="str">
        <f>"0.927"</f>
        <v>0.927</v>
      </c>
      <c r="U38" s="1" t="str">
        <f>"1.010"</f>
        <v>1.010</v>
      </c>
      <c r="V38" s="1" t="str">
        <f>"1.976"</f>
        <v>1.976</v>
      </c>
      <c r="W38" s="1" t="str">
        <f>"1.977"</f>
        <v>1.977</v>
      </c>
      <c r="X38" s="1" t="str">
        <f>"0.280**"</f>
        <v>0.280**</v>
      </c>
      <c r="Y38" s="1" t="str">
        <f>"0.263**"</f>
        <v>0.263**</v>
      </c>
      <c r="Z38" s="1" t="str">
        <f>"0.836"</f>
        <v>0.836</v>
      </c>
      <c r="AA38" s="1" t="str">
        <f>"0.816"</f>
        <v>0.816</v>
      </c>
      <c r="AB38" s="1" t="str">
        <f>"2.542"</f>
        <v>2.542</v>
      </c>
      <c r="AC38" s="1" t="str">
        <f>"2.467"</f>
        <v>2.467</v>
      </c>
      <c r="AD38" s="1" t="str">
        <f>"1.541"</f>
        <v>1.541</v>
      </c>
      <c r="AE38" s="1" t="str">
        <f>"1.450"</f>
        <v>1.450</v>
      </c>
      <c r="AF38" s="1" t="str">
        <f>"0.728"</f>
        <v>0.728</v>
      </c>
      <c r="AG38" s="1" t="str">
        <f>"0.748"</f>
        <v>0.748</v>
      </c>
      <c r="AH38" s="1" t="str">
        <f>"0.811"</f>
        <v>0.811</v>
      </c>
      <c r="AI38" s="1" t="str">
        <f>"0.824"</f>
        <v>0.824</v>
      </c>
      <c r="AJ38" s="1" t="str">
        <f>"0.413"</f>
        <v>0.413</v>
      </c>
      <c r="AK38" s="1" t="str">
        <f>"0.409"</f>
        <v>0.409</v>
      </c>
      <c r="AL38" s="1" t="str">
        <f>"1.685"</f>
        <v>1.685</v>
      </c>
      <c r="AM38" s="1" t="str">
        <f>"1.650"</f>
        <v>1.650</v>
      </c>
      <c r="AN38" s="1" t="str">
        <f>"0.974"</f>
        <v>0.974</v>
      </c>
      <c r="AO38" s="1" t="str">
        <f>"0.979"</f>
        <v>0.979</v>
      </c>
      <c r="AP38" s="1" t="str">
        <f>"0.680"</f>
        <v>0.680</v>
      </c>
      <c r="AQ38" s="1" t="str">
        <f>"0.658"</f>
        <v>0.658</v>
      </c>
      <c r="AR38" s="1" t="str">
        <f>"1.099"</f>
        <v>1.099</v>
      </c>
      <c r="AS38" s="1" t="str">
        <f>"1.101"</f>
        <v>1.101</v>
      </c>
      <c r="AT38" s="1" t="str">
        <f>"0.081**"</f>
        <v>0.081**</v>
      </c>
      <c r="AU38" s="1" t="str">
        <f>"0.064**"</f>
        <v>0.064**</v>
      </c>
      <c r="AV38" s="1" t="str">
        <f>"3.568*"</f>
        <v>3.568*</v>
      </c>
      <c r="AW38" s="1" t="str">
        <f>"3.784*"</f>
        <v>3.784*</v>
      </c>
      <c r="AX38" s="1" t="str">
        <f>"1.089"</f>
        <v>1.089</v>
      </c>
      <c r="AY38" s="1" t="str">
        <f>"1.359"</f>
        <v>1.359</v>
      </c>
      <c r="AZ38" s="1" t="str">
        <f>"0.398"</f>
        <v>0.398</v>
      </c>
      <c r="BA38" s="1" t="str">
        <f>"0.451"</f>
        <v>0.451</v>
      </c>
    </row>
    <row r="39" spans="1:53" x14ac:dyDescent="0.25">
      <c r="A39" s="1" t="str">
        <f>""</f>
        <v/>
      </c>
      <c r="B39" s="1" t="str">
        <f>"(0.241)"</f>
        <v>(0.241)</v>
      </c>
      <c r="C39" s="1" t="str">
        <f>"(0.234)"</f>
        <v>(0.234)</v>
      </c>
      <c r="D39" s="1" t="str">
        <f>"(0.322)"</f>
        <v>(0.322)</v>
      </c>
      <c r="E39" s="1" t="str">
        <f>"(0.331)"</f>
        <v>(0.331)</v>
      </c>
      <c r="F39" s="1" t="str">
        <f>"(0.396)"</f>
        <v>(0.396)</v>
      </c>
      <c r="G39" s="1" t="str">
        <f>"(0.403)"</f>
        <v>(0.403)</v>
      </c>
      <c r="H39" s="1" t="str">
        <f>"(0.552)"</f>
        <v>(0.552)</v>
      </c>
      <c r="I39" s="1" t="str">
        <f>"(0.528)"</f>
        <v>(0.528)</v>
      </c>
      <c r="J39" s="1" t="str">
        <f>"(0.305)"</f>
        <v>(0.305)</v>
      </c>
      <c r="K39" s="1" t="str">
        <f>"(0.373)"</f>
        <v>(0.373)</v>
      </c>
      <c r="L39" s="1" t="str">
        <f>"(0.398)"</f>
        <v>(0.398)</v>
      </c>
      <c r="M39" s="1" t="str">
        <f>"(0.372)"</f>
        <v>(0.372)</v>
      </c>
      <c r="N39" s="1" t="str">
        <f>"(0.480)"</f>
        <v>(0.480)</v>
      </c>
      <c r="O39" s="1" t="str">
        <f>"(0.487)"</f>
        <v>(0.487)</v>
      </c>
      <c r="P39" s="1" t="str">
        <f>"(0.982)"</f>
        <v>(0.982)</v>
      </c>
      <c r="Q39" s="1" t="str">
        <f>"(0.709)"</f>
        <v>(0.709)</v>
      </c>
      <c r="R39" s="1" t="str">
        <f>"(0.444)"</f>
        <v>(0.444)</v>
      </c>
      <c r="S39" s="1" t="str">
        <f>"(0.438)"</f>
        <v>(0.438)</v>
      </c>
      <c r="T39" s="1" t="str">
        <f>"(0.413)"</f>
        <v>(0.413)</v>
      </c>
      <c r="U39" s="1" t="str">
        <f>"(0.428)"</f>
        <v>(0.428)</v>
      </c>
      <c r="V39" s="1" t="str">
        <f>"(0.690)"</f>
        <v>(0.690)</v>
      </c>
      <c r="W39" s="1" t="str">
        <f>"(0.693)"</f>
        <v>(0.693)</v>
      </c>
      <c r="X39" s="1" t="str">
        <f>"(0.115)"</f>
        <v>(0.115)</v>
      </c>
      <c r="Y39" s="1" t="str">
        <f>"(0.114)"</f>
        <v>(0.114)</v>
      </c>
      <c r="Z39" s="1" t="str">
        <f>"(0.315)"</f>
        <v>(0.315)</v>
      </c>
      <c r="AA39" s="1" t="str">
        <f>"(0.305)"</f>
        <v>(0.305)</v>
      </c>
      <c r="AB39" s="1" t="str">
        <f>"(1.291)"</f>
        <v>(1.291)</v>
      </c>
      <c r="AC39" s="1" t="str">
        <f>"(1.237)"</f>
        <v>(1.237)</v>
      </c>
      <c r="AD39" s="1" t="str">
        <f>"(0.553)"</f>
        <v>(0.553)</v>
      </c>
      <c r="AE39" s="1" t="str">
        <f>"(0.526)"</f>
        <v>(0.526)</v>
      </c>
      <c r="AF39" s="1" t="str">
        <f>"(0.318)"</f>
        <v>(0.318)</v>
      </c>
      <c r="AG39" s="1" t="str">
        <f>"(0.331)"</f>
        <v>(0.331)</v>
      </c>
      <c r="AH39" s="1" t="str">
        <f>"(0.305)"</f>
        <v>(0.305)</v>
      </c>
      <c r="AI39" s="1" t="str">
        <f>"(0.311)"</f>
        <v>(0.311)</v>
      </c>
      <c r="AJ39" s="1" t="str">
        <f>"(0.266)"</f>
        <v>(0.266)</v>
      </c>
      <c r="AK39" s="1" t="str">
        <f>"(0.274)"</f>
        <v>(0.274)</v>
      </c>
      <c r="AL39" s="1" t="str">
        <f>"(1.069)"</f>
        <v>(1.069)</v>
      </c>
      <c r="AM39" s="1" t="str">
        <f>"(0.990)"</f>
        <v>(0.990)</v>
      </c>
      <c r="AN39" s="1" t="str">
        <f>"(0.513)"</f>
        <v>(0.513)</v>
      </c>
      <c r="AO39" s="1" t="str">
        <f>"(0.514)"</f>
        <v>(0.514)</v>
      </c>
      <c r="AP39" s="1" t="str">
        <f>"(0.245)"</f>
        <v>(0.245)</v>
      </c>
      <c r="AQ39" s="1" t="str">
        <f>"(0.236)"</f>
        <v>(0.236)</v>
      </c>
      <c r="AR39" s="1" t="str">
        <f>"(0.884)"</f>
        <v>(0.884)</v>
      </c>
      <c r="AS39" s="1" t="str">
        <f>"(0.901)"</f>
        <v>(0.901)</v>
      </c>
      <c r="AT39" s="1" t="str">
        <f>"(0.064)"</f>
        <v>(0.064)</v>
      </c>
      <c r="AU39" s="1" t="str">
        <f>"(0.055)"</f>
        <v>(0.055)</v>
      </c>
      <c r="AV39" s="1" t="str">
        <f>"(2.111)"</f>
        <v>(2.111)</v>
      </c>
      <c r="AW39" s="1" t="str">
        <f>"(2.368)"</f>
        <v>(2.368)</v>
      </c>
      <c r="AX39" s="1" t="str">
        <f>"(0.780)"</f>
        <v>(0.780)</v>
      </c>
      <c r="AY39" s="1" t="str">
        <f>"(0.689)"</f>
        <v>(0.689)</v>
      </c>
      <c r="AZ39" s="1" t="str">
        <f>"(0.228)"</f>
        <v>(0.228)</v>
      </c>
      <c r="BA39" s="1" t="str">
        <f>"(0.279)"</f>
        <v>(0.279)</v>
      </c>
    </row>
    <row r="40" spans="1:53" x14ac:dyDescent="0.25">
      <c r="A40" s="1" t="str">
        <f>"relationship with child: adoptive parent"</f>
        <v>relationship with child: adoptive parent</v>
      </c>
      <c r="B40" s="1" t="str">
        <f>"1.282"</f>
        <v>1.282</v>
      </c>
      <c r="C40" s="1" t="str">
        <f>"1.259"</f>
        <v>1.259</v>
      </c>
      <c r="D40" s="1" t="str">
        <f>"0.211"</f>
        <v>0.211</v>
      </c>
      <c r="E40" s="1" t="str">
        <f>"0.213"</f>
        <v>0.213</v>
      </c>
      <c r="F40" s="1" t="str">
        <f>"1.114"</f>
        <v>1.114</v>
      </c>
      <c r="G40" s="1" t="str">
        <f>"1.150"</f>
        <v>1.150</v>
      </c>
      <c r="H40" s="1" t="str">
        <f>"0.384"</f>
        <v>0.384</v>
      </c>
      <c r="I40" s="1" t="str">
        <f>"0.383"</f>
        <v>0.383</v>
      </c>
      <c r="J40" s="1" t="str">
        <f>"0.666"</f>
        <v>0.666</v>
      </c>
      <c r="K40" s="1" t="str">
        <f>"0.682"</f>
        <v>0.682</v>
      </c>
      <c r="L40" s="1" t="str">
        <f>"1.819"</f>
        <v>1.819</v>
      </c>
      <c r="M40" s="1" t="str">
        <f>"1.716"</f>
        <v>1.716</v>
      </c>
      <c r="N40" s="1" t="str">
        <f>"1.153"</f>
        <v>1.153</v>
      </c>
      <c r="O40" s="1" t="str">
        <f>"1.148"</f>
        <v>1.148</v>
      </c>
      <c r="P40" s="1" t="str">
        <f>"1.679"</f>
        <v>1.679</v>
      </c>
      <c r="Q40" s="1" t="str">
        <f>"1.310"</f>
        <v>1.310</v>
      </c>
      <c r="R40" s="1" t="str">
        <f>"0.767"</f>
        <v>0.767</v>
      </c>
      <c r="S40" s="1" t="str">
        <f>"0.759"</f>
        <v>0.759</v>
      </c>
      <c r="T40" s="1" t="str">
        <f>"0.995"</f>
        <v>0.995</v>
      </c>
      <c r="U40" s="1" t="str">
        <f>"1.015"</f>
        <v>1.015</v>
      </c>
      <c r="V40" s="1" t="str">
        <f>"0.824"</f>
        <v>0.824</v>
      </c>
      <c r="W40" s="1" t="str">
        <f>"0.821"</f>
        <v>0.821</v>
      </c>
      <c r="X40" s="1" t="str">
        <f>"0.313*"</f>
        <v>0.313*</v>
      </c>
      <c r="Y40" s="1" t="str">
        <f>"0.290*"</f>
        <v>0.290*</v>
      </c>
      <c r="Z40" s="1" t="str">
        <f>"0.998"</f>
        <v>0.998</v>
      </c>
      <c r="AA40" s="1" t="str">
        <f>"0.962"</f>
        <v>0.962</v>
      </c>
      <c r="AB40" s="1" t="str">
        <f>"6.485***"</f>
        <v>6.485***</v>
      </c>
      <c r="AC40" s="1" t="str">
        <f>"6.211***"</f>
        <v>6.211***</v>
      </c>
      <c r="AD40" s="1" t="str">
        <f>"1.508"</f>
        <v>1.508</v>
      </c>
      <c r="AE40" s="1" t="str">
        <f>"1.406"</f>
        <v>1.406</v>
      </c>
      <c r="AF40" s="1" t="str">
        <f>"0.764"</f>
        <v>0.764</v>
      </c>
      <c r="AG40" s="1" t="str">
        <f>"0.763"</f>
        <v>0.763</v>
      </c>
      <c r="AH40" s="1" t="str">
        <f>"0.829"</f>
        <v>0.829</v>
      </c>
      <c r="AI40" s="1" t="str">
        <f>"0.805"</f>
        <v>0.805</v>
      </c>
      <c r="AJ40" s="1" t="str">
        <f>"0.302"</f>
        <v>0.302</v>
      </c>
      <c r="AK40" s="1" t="str">
        <f>"0.306"</f>
        <v>0.306</v>
      </c>
      <c r="AL40" s="1" t="str">
        <f>"1.421"</f>
        <v>1.421</v>
      </c>
      <c r="AM40" s="1" t="str">
        <f>"1.334"</f>
        <v>1.334</v>
      </c>
      <c r="AN40" s="1" t="str">
        <f>"1.987"</f>
        <v>1.987</v>
      </c>
      <c r="AO40" s="1" t="str">
        <f>"1.930"</f>
        <v>1.930</v>
      </c>
      <c r="AP40" s="1" t="str">
        <f>"0.724"</f>
        <v>0.724</v>
      </c>
      <c r="AQ40" s="1" t="str">
        <f>"0.719"</f>
        <v>0.719</v>
      </c>
      <c r="AR40" s="1" t="str">
        <f>"1.482"</f>
        <v>1.482</v>
      </c>
      <c r="AS40" s="1" t="str">
        <f>"1.505"</f>
        <v>1.505</v>
      </c>
      <c r="AT40" s="1" t="str">
        <f>"0.803"</f>
        <v>0.803</v>
      </c>
      <c r="AU40" s="1" t="str">
        <f>"0.563"</f>
        <v>0.563</v>
      </c>
      <c r="AV40" s="1" t="str">
        <f>"0.306"</f>
        <v>0.306</v>
      </c>
      <c r="AW40" s="1" t="str">
        <f>"0.300"</f>
        <v>0.300</v>
      </c>
      <c r="AX40" s="1" t="str">
        <f>"0.188"</f>
        <v>0.188</v>
      </c>
      <c r="AY40" s="1" t="str">
        <f>"0.211*"</f>
        <v>0.211*</v>
      </c>
      <c r="AZ40" s="1" t="str">
        <f>"0.486"</f>
        <v>0.486</v>
      </c>
      <c r="BA40" s="1" t="str">
        <f>"0.541"</f>
        <v>0.541</v>
      </c>
    </row>
    <row r="41" spans="1:53" x14ac:dyDescent="0.25">
      <c r="A41" s="1" t="str">
        <f>""</f>
        <v/>
      </c>
      <c r="B41" s="1" t="str">
        <f>"(1.031)"</f>
        <v>(1.031)</v>
      </c>
      <c r="C41" s="1" t="str">
        <f>"(1.048)"</f>
        <v>(1.048)</v>
      </c>
      <c r="D41" s="1" t="str">
        <f>"(0.179)"</f>
        <v>(0.179)</v>
      </c>
      <c r="E41" s="1" t="str">
        <f>"(0.180)"</f>
        <v>(0.180)</v>
      </c>
      <c r="F41" s="1" t="str">
        <f>"(1.050)"</f>
        <v>(1.050)</v>
      </c>
      <c r="G41" s="1" t="str">
        <f>"(1.123)"</f>
        <v>(1.123)</v>
      </c>
      <c r="H41" s="1" t="str">
        <f>"(0.217)"</f>
        <v>(0.217)</v>
      </c>
      <c r="I41" s="1" t="str">
        <f>"(0.213)"</f>
        <v>(0.213)</v>
      </c>
      <c r="J41" s="1" t="str">
        <f>"(0.334)"</f>
        <v>(0.334)</v>
      </c>
      <c r="K41" s="1" t="str">
        <f>"(0.372)"</f>
        <v>(0.372)</v>
      </c>
      <c r="L41" s="1" t="str">
        <f>"(2.210)"</f>
        <v>(2.210)</v>
      </c>
      <c r="M41" s="1" t="str">
        <f>"(2.149)"</f>
        <v>(2.149)</v>
      </c>
      <c r="N41" s="1" t="str">
        <f>"(0.620)"</f>
        <v>(0.620)</v>
      </c>
      <c r="O41" s="1" t="str">
        <f>"(0.626)"</f>
        <v>(0.626)</v>
      </c>
      <c r="P41" s="1" t="str">
        <f>"(1.427)"</f>
        <v>(1.427)</v>
      </c>
      <c r="Q41" s="1" t="str">
        <f>"(1.090)"</f>
        <v>(1.090)</v>
      </c>
      <c r="R41" s="1" t="str">
        <f>"(0.372)"</f>
        <v>(0.372)</v>
      </c>
      <c r="S41" s="1" t="str">
        <f>"(0.368)"</f>
        <v>(0.368)</v>
      </c>
      <c r="T41" s="1" t="str">
        <f>"(0.506)"</f>
        <v>(0.506)</v>
      </c>
      <c r="U41" s="1" t="str">
        <f>"(0.523)"</f>
        <v>(0.523)</v>
      </c>
      <c r="V41" s="1" t="str">
        <f>"(0.436)"</f>
        <v>(0.436)</v>
      </c>
      <c r="W41" s="1" t="str">
        <f>"(0.438)"</f>
        <v>(0.438)</v>
      </c>
      <c r="X41" s="1" t="str">
        <f>"(0.152)"</f>
        <v>(0.152)</v>
      </c>
      <c r="Y41" s="1" t="str">
        <f>"(0.141)"</f>
        <v>(0.141)</v>
      </c>
      <c r="Z41" s="1" t="str">
        <f>"(0.623)"</f>
        <v>(0.623)</v>
      </c>
      <c r="AA41" s="1" t="str">
        <f>"(0.613)"</f>
        <v>(0.613)</v>
      </c>
      <c r="AB41" s="1" t="str">
        <f>"(3.653)"</f>
        <v>(3.653)</v>
      </c>
      <c r="AC41" s="1" t="str">
        <f>"(3.387)"</f>
        <v>(3.387)</v>
      </c>
      <c r="AD41" s="1" t="str">
        <f>"(0.632)"</f>
        <v>(0.632)</v>
      </c>
      <c r="AE41" s="1" t="str">
        <f>"(0.596)"</f>
        <v>(0.596)</v>
      </c>
      <c r="AF41" s="1" t="str">
        <f>"(0.458)"</f>
        <v>(0.458)</v>
      </c>
      <c r="AG41" s="1" t="str">
        <f>"(0.460)"</f>
        <v>(0.460)</v>
      </c>
      <c r="AH41" s="1" t="str">
        <f>"(0.407)"</f>
        <v>(0.407)</v>
      </c>
      <c r="AI41" s="1" t="str">
        <f>"(0.407)"</f>
        <v>(0.407)</v>
      </c>
      <c r="AJ41" s="1" t="str">
        <f>"(0.194)"</f>
        <v>(0.194)</v>
      </c>
      <c r="AK41" s="1" t="str">
        <f>"(0.208)"</f>
        <v>(0.208)</v>
      </c>
      <c r="AL41" s="1" t="str">
        <f>"(0.927)"</f>
        <v>(0.927)</v>
      </c>
      <c r="AM41" s="1" t="str">
        <f>"(0.866)"</f>
        <v>(0.866)</v>
      </c>
      <c r="AN41" s="1" t="str">
        <f>"(1.506)"</f>
        <v>(1.506)</v>
      </c>
      <c r="AO41" s="1" t="str">
        <f>"(1.457)"</f>
        <v>(1.457)</v>
      </c>
      <c r="AP41" s="1" t="str">
        <f>"(0.334)"</f>
        <v>(0.334)</v>
      </c>
      <c r="AQ41" s="1" t="str">
        <f>"(0.308)"</f>
        <v>(0.308)</v>
      </c>
      <c r="AR41" s="1" t="str">
        <f>"(1.386)"</f>
        <v>(1.386)</v>
      </c>
      <c r="AS41" s="1" t="str">
        <f>"(1.404)"</f>
        <v>(1.404)</v>
      </c>
      <c r="AT41" s="1" t="str">
        <f>"(0.727)"</f>
        <v>(0.727)</v>
      </c>
      <c r="AU41" s="1" t="str">
        <f>"(0.507)"</f>
        <v>(0.507)</v>
      </c>
      <c r="AV41" s="1" t="str">
        <f>"(0.249)"</f>
        <v>(0.249)</v>
      </c>
      <c r="AW41" s="1" t="str">
        <f>"(0.253)"</f>
        <v>(0.253)</v>
      </c>
      <c r="AX41" s="1" t="str">
        <f>"(0.165)"</f>
        <v>(0.165)</v>
      </c>
      <c r="AY41" s="1" t="str">
        <f>"(0.153)"</f>
        <v>(0.153)</v>
      </c>
      <c r="AZ41" s="1" t="str">
        <f>"(0.336)"</f>
        <v>(0.336)</v>
      </c>
      <c r="BA41" s="1" t="str">
        <f>"(0.381)"</f>
        <v>(0.381)</v>
      </c>
    </row>
    <row r="42" spans="1:53" x14ac:dyDescent="0.25">
      <c r="A42" s="1" t="str">
        <f>"relationship with child: foster parent"</f>
        <v>relationship with child: foster parent</v>
      </c>
      <c r="B42" s="1" t="str">
        <f>"1.000"</f>
        <v>1.000</v>
      </c>
      <c r="C42" s="1" t="str">
        <f>"1.000"</f>
        <v>1.000</v>
      </c>
      <c r="D42" s="1" t="str">
        <f>"1.000"</f>
        <v>1.000</v>
      </c>
      <c r="E42" s="1" t="str">
        <f>"1.000"</f>
        <v>1.000</v>
      </c>
      <c r="F42" s="1" t="str">
        <f>"0.408"</f>
        <v>0.408</v>
      </c>
      <c r="G42" s="1" t="str">
        <f>"0.409"</f>
        <v>0.409</v>
      </c>
      <c r="H42" s="1" t="str">
        <f t="shared" ref="H42:M42" si="0">"1.000"</f>
        <v>1.000</v>
      </c>
      <c r="I42" s="1" t="str">
        <f t="shared" si="0"/>
        <v>1.000</v>
      </c>
      <c r="J42" s="1" t="str">
        <f t="shared" si="0"/>
        <v>1.000</v>
      </c>
      <c r="K42" s="1" t="str">
        <f t="shared" si="0"/>
        <v>1.000</v>
      </c>
      <c r="L42" s="1" t="str">
        <f t="shared" si="0"/>
        <v>1.000</v>
      </c>
      <c r="M42" s="1" t="str">
        <f t="shared" si="0"/>
        <v>1.000</v>
      </c>
      <c r="N42" s="1" t="str">
        <f>"1.578"</f>
        <v>1.578</v>
      </c>
      <c r="O42" s="1" t="str">
        <f>"1.543"</f>
        <v>1.543</v>
      </c>
      <c r="P42" s="1" t="str">
        <f>"1.000"</f>
        <v>1.000</v>
      </c>
      <c r="Q42" s="1" t="str">
        <f>"1.000"</f>
        <v>1.000</v>
      </c>
      <c r="R42" s="1" t="str">
        <f>"2.050"</f>
        <v>2.050</v>
      </c>
      <c r="S42" s="1" t="str">
        <f>"1.802"</f>
        <v>1.802</v>
      </c>
      <c r="T42" s="1" t="str">
        <f>"2.304"</f>
        <v>2.304</v>
      </c>
      <c r="U42" s="1" t="str">
        <f>"1.851"</f>
        <v>1.851</v>
      </c>
      <c r="V42" s="1" t="str">
        <f>"0.162*"</f>
        <v>0.162*</v>
      </c>
      <c r="W42" s="1" t="str">
        <f>"0.174*"</f>
        <v>0.174*</v>
      </c>
      <c r="X42" s="1" t="str">
        <f>"0.337"</f>
        <v>0.337</v>
      </c>
      <c r="Y42" s="1" t="str">
        <f>"0.427"</f>
        <v>0.427</v>
      </c>
      <c r="Z42" s="1" t="str">
        <f>"11.763*"</f>
        <v>11.763*</v>
      </c>
      <c r="AA42" s="1" t="str">
        <f>"13.255*"</f>
        <v>13.255*</v>
      </c>
      <c r="AB42" s="1" t="str">
        <f>"1.082"</f>
        <v>1.082</v>
      </c>
      <c r="AC42" s="1" t="str">
        <f>"1.217"</f>
        <v>1.217</v>
      </c>
      <c r="AD42" s="1" t="str">
        <f>"0.124"</f>
        <v>0.124</v>
      </c>
      <c r="AE42" s="1" t="str">
        <f>"0.081*"</f>
        <v>0.081*</v>
      </c>
      <c r="AF42" s="1" t="str">
        <f>"1.000"</f>
        <v>1.000</v>
      </c>
      <c r="AG42" s="1" t="str">
        <f>"1.000"</f>
        <v>1.000</v>
      </c>
      <c r="AH42" s="1" t="str">
        <f>"1.000"</f>
        <v>1.000</v>
      </c>
      <c r="AI42" s="1" t="str">
        <f>"1.000"</f>
        <v>1.000</v>
      </c>
      <c r="AJ42" s="1" t="str">
        <f>"0.146"</f>
        <v>0.146</v>
      </c>
      <c r="AK42" s="1" t="str">
        <f>"0.146"</f>
        <v>0.146</v>
      </c>
      <c r="AL42" s="1" t="str">
        <f>"1.007"</f>
        <v>1.007</v>
      </c>
      <c r="AM42" s="1" t="str">
        <f>"0.960"</f>
        <v>0.960</v>
      </c>
      <c r="AN42" s="1" t="str">
        <f>"1.000"</f>
        <v>1.000</v>
      </c>
      <c r="AO42" s="1" t="str">
        <f>"1.000"</f>
        <v>1.000</v>
      </c>
      <c r="AP42" s="1" t="str">
        <f>"0.749"</f>
        <v>0.749</v>
      </c>
      <c r="AQ42" s="1" t="str">
        <f>"0.725"</f>
        <v>0.725</v>
      </c>
      <c r="AR42" s="1" t="str">
        <f>"0.082*"</f>
        <v>0.082*</v>
      </c>
      <c r="AS42" s="1" t="str">
        <f>"0.089*"</f>
        <v>0.089*</v>
      </c>
      <c r="AT42" s="1" t="str">
        <f>"1.000"</f>
        <v>1.000</v>
      </c>
      <c r="AU42" s="1" t="str">
        <f>"1.000"</f>
        <v>1.000</v>
      </c>
      <c r="AV42" s="1" t="str">
        <f>"1.000"</f>
        <v>1.000</v>
      </c>
      <c r="AW42" s="1" t="str">
        <f>"1.000"</f>
        <v>1.000</v>
      </c>
      <c r="AX42" s="1" t="str">
        <f>"0.982"</f>
        <v>0.982</v>
      </c>
      <c r="AY42" s="1" t="str">
        <f>"1.429"</f>
        <v>1.429</v>
      </c>
      <c r="AZ42" s="1" t="str">
        <f>"1.000"</f>
        <v>1.000</v>
      </c>
      <c r="BA42" s="1" t="str">
        <f>"1.000"</f>
        <v>1.000</v>
      </c>
    </row>
    <row r="43" spans="1:53" x14ac:dyDescent="0.25">
      <c r="A43" s="1" t="str">
        <f>""</f>
        <v/>
      </c>
      <c r="B43" s="1" t="str">
        <f>"(.)"</f>
        <v>(.)</v>
      </c>
      <c r="C43" s="1" t="str">
        <f>"(.)"</f>
        <v>(.)</v>
      </c>
      <c r="D43" s="1" t="str">
        <f>"(.)"</f>
        <v>(.)</v>
      </c>
      <c r="E43" s="1" t="str">
        <f>"(.)"</f>
        <v>(.)</v>
      </c>
      <c r="F43" s="1" t="str">
        <f>"(0.762)"</f>
        <v>(0.762)</v>
      </c>
      <c r="G43" s="1" t="str">
        <f>"(0.776)"</f>
        <v>(0.776)</v>
      </c>
      <c r="H43" s="1" t="str">
        <f t="shared" ref="H43:M43" si="1">"(.)"</f>
        <v>(.)</v>
      </c>
      <c r="I43" s="1" t="str">
        <f t="shared" si="1"/>
        <v>(.)</v>
      </c>
      <c r="J43" s="1" t="str">
        <f t="shared" si="1"/>
        <v>(.)</v>
      </c>
      <c r="K43" s="1" t="str">
        <f t="shared" si="1"/>
        <v>(.)</v>
      </c>
      <c r="L43" s="1" t="str">
        <f t="shared" si="1"/>
        <v>(.)</v>
      </c>
      <c r="M43" s="1" t="str">
        <f t="shared" si="1"/>
        <v>(.)</v>
      </c>
      <c r="N43" s="1" t="str">
        <f>"(1.915)"</f>
        <v>(1.915)</v>
      </c>
      <c r="O43" s="1" t="str">
        <f>"(1.883)"</f>
        <v>(1.883)</v>
      </c>
      <c r="P43" s="1" t="str">
        <f>"(.)"</f>
        <v>(.)</v>
      </c>
      <c r="Q43" s="1" t="str">
        <f>"(.)"</f>
        <v>(.)</v>
      </c>
      <c r="R43" s="1" t="str">
        <f>"(2.842)"</f>
        <v>(2.842)</v>
      </c>
      <c r="S43" s="1" t="str">
        <f>"(2.499)"</f>
        <v>(2.499)</v>
      </c>
      <c r="T43" s="1" t="str">
        <f>"(2.188)"</f>
        <v>(2.188)</v>
      </c>
      <c r="U43" s="1" t="str">
        <f>"(2.202)"</f>
        <v>(2.202)</v>
      </c>
      <c r="V43" s="1" t="str">
        <f>"(0.132)"</f>
        <v>(0.132)</v>
      </c>
      <c r="W43" s="1" t="str">
        <f>"(0.141)"</f>
        <v>(0.141)</v>
      </c>
      <c r="X43" s="1" t="str">
        <f>"(0.291)"</f>
        <v>(0.291)</v>
      </c>
      <c r="Y43" s="1" t="str">
        <f>"(0.359)"</f>
        <v>(0.359)</v>
      </c>
      <c r="Z43" s="1" t="str">
        <f>"(12.667)"</f>
        <v>(12.667)</v>
      </c>
      <c r="AA43" s="1" t="str">
        <f>"(14.530)"</f>
        <v>(14.530)</v>
      </c>
      <c r="AB43" s="1" t="str">
        <f>"(2.456)"</f>
        <v>(2.456)</v>
      </c>
      <c r="AC43" s="1" t="str">
        <f>"(2.587)"</f>
        <v>(2.587)</v>
      </c>
      <c r="AD43" s="1" t="str">
        <f>"(0.134)"</f>
        <v>(0.134)</v>
      </c>
      <c r="AE43" s="1" t="str">
        <f>"(0.090)"</f>
        <v>(0.090)</v>
      </c>
      <c r="AF43" s="1" t="str">
        <f>"(.)"</f>
        <v>(.)</v>
      </c>
      <c r="AG43" s="1" t="str">
        <f>"(.)"</f>
        <v>(.)</v>
      </c>
      <c r="AH43" s="1" t="str">
        <f>"(.)"</f>
        <v>(.)</v>
      </c>
      <c r="AI43" s="1" t="str">
        <f>"(.)"</f>
        <v>(.)</v>
      </c>
      <c r="AJ43" s="1" t="str">
        <f>"(0.152)"</f>
        <v>(0.152)</v>
      </c>
      <c r="AK43" s="1" t="str">
        <f>"(0.152)"</f>
        <v>(0.152)</v>
      </c>
      <c r="AL43" s="1" t="str">
        <f>"(1.112)"</f>
        <v>(1.112)</v>
      </c>
      <c r="AM43" s="1" t="str">
        <f>"(1.067)"</f>
        <v>(1.067)</v>
      </c>
      <c r="AN43" s="1" t="str">
        <f>"(.)"</f>
        <v>(.)</v>
      </c>
      <c r="AO43" s="1" t="str">
        <f>"(.)"</f>
        <v>(.)</v>
      </c>
      <c r="AP43" s="1" t="str">
        <f>"(0.948)"</f>
        <v>(0.948)</v>
      </c>
      <c r="AQ43" s="1" t="str">
        <f>"(0.932)"</f>
        <v>(0.932)</v>
      </c>
      <c r="AR43" s="1" t="str">
        <f>"(0.095)"</f>
        <v>(0.095)</v>
      </c>
      <c r="AS43" s="1" t="str">
        <f>"(0.107)"</f>
        <v>(0.107)</v>
      </c>
      <c r="AT43" s="1" t="str">
        <f>"(.)"</f>
        <v>(.)</v>
      </c>
      <c r="AU43" s="1" t="str">
        <f>"(.)"</f>
        <v>(.)</v>
      </c>
      <c r="AV43" s="1" t="str">
        <f>"(.)"</f>
        <v>(.)</v>
      </c>
      <c r="AW43" s="1" t="str">
        <f>"(.)"</f>
        <v>(.)</v>
      </c>
      <c r="AX43" s="1" t="str">
        <f>"(0.994)"</f>
        <v>(0.994)</v>
      </c>
      <c r="AY43" s="1" t="str">
        <f>"(1.470)"</f>
        <v>(1.470)</v>
      </c>
      <c r="AZ43" s="1" t="str">
        <f>"(.)"</f>
        <v>(.)</v>
      </c>
      <c r="BA43" s="1" t="str">
        <f>"(.)"</f>
        <v>(.)</v>
      </c>
    </row>
    <row r="44" spans="1:53" x14ac:dyDescent="0.25">
      <c r="A44" s="1" t="str">
        <f>"relationship with child: step-parent"</f>
        <v>relationship with child: step-parent</v>
      </c>
      <c r="B44" s="1" t="str">
        <f>"0.383"</f>
        <v>0.383</v>
      </c>
      <c r="C44" s="1" t="str">
        <f>"0.372"</f>
        <v>0.372</v>
      </c>
      <c r="D44" s="1" t="str">
        <f>"0.271"</f>
        <v>0.271</v>
      </c>
      <c r="E44" s="1" t="str">
        <f>"0.293"</f>
        <v>0.293</v>
      </c>
      <c r="F44" s="1" t="str">
        <f>"1.477"</f>
        <v>1.477</v>
      </c>
      <c r="G44" s="1" t="str">
        <f>"1.526"</f>
        <v>1.526</v>
      </c>
      <c r="H44" s="1" t="str">
        <f>"0.758"</f>
        <v>0.758</v>
      </c>
      <c r="I44" s="1" t="str">
        <f>"0.685"</f>
        <v>0.685</v>
      </c>
      <c r="J44" s="1" t="str">
        <f>"0.588"</f>
        <v>0.588</v>
      </c>
      <c r="K44" s="1" t="str">
        <f>"0.769"</f>
        <v>0.769</v>
      </c>
      <c r="L44" s="1" t="str">
        <f>"0.705"</f>
        <v>0.705</v>
      </c>
      <c r="M44" s="1" t="str">
        <f>"0.756"</f>
        <v>0.756</v>
      </c>
      <c r="N44" s="1" t="str">
        <f>"0.677"</f>
        <v>0.677</v>
      </c>
      <c r="O44" s="1" t="str">
        <f>"0.649"</f>
        <v>0.649</v>
      </c>
      <c r="P44" s="1" t="str">
        <f>"3.870"</f>
        <v>3.870</v>
      </c>
      <c r="Q44" s="1" t="str">
        <f>"2.457"</f>
        <v>2.457</v>
      </c>
      <c r="R44" s="1" t="str">
        <f>"1.791"</f>
        <v>1.791</v>
      </c>
      <c r="S44" s="1" t="str">
        <f>"1.336"</f>
        <v>1.336</v>
      </c>
      <c r="T44" s="1" t="str">
        <f>"0.880"</f>
        <v>0.880</v>
      </c>
      <c r="U44" s="1" t="str">
        <f>"0.873"</f>
        <v>0.873</v>
      </c>
      <c r="V44" s="1" t="str">
        <f>"0.661"</f>
        <v>0.661</v>
      </c>
      <c r="W44" s="1" t="str">
        <f>"0.671"</f>
        <v>0.671</v>
      </c>
      <c r="X44" s="1" t="str">
        <f>"0.370"</f>
        <v>0.370</v>
      </c>
      <c r="Y44" s="1" t="str">
        <f>"0.367"</f>
        <v>0.367</v>
      </c>
      <c r="Z44" s="1" t="str">
        <f>"2.053"</f>
        <v>2.053</v>
      </c>
      <c r="AA44" s="1" t="str">
        <f>"2.071"</f>
        <v>2.071</v>
      </c>
      <c r="AB44" s="1" t="str">
        <f>"3.359"</f>
        <v>3.359</v>
      </c>
      <c r="AC44" s="1" t="str">
        <f>"3.346"</f>
        <v>3.346</v>
      </c>
      <c r="AD44" s="1" t="str">
        <f>"1.817"</f>
        <v>1.817</v>
      </c>
      <c r="AE44" s="1" t="str">
        <f>"1.665"</f>
        <v>1.665</v>
      </c>
      <c r="AF44" s="1" t="str">
        <f>"0.214*"</f>
        <v>0.214*</v>
      </c>
      <c r="AG44" s="1" t="str">
        <f>"0.226*"</f>
        <v>0.226*</v>
      </c>
      <c r="AH44" s="1" t="str">
        <f>"0.584"</f>
        <v>0.584</v>
      </c>
      <c r="AI44" s="1" t="str">
        <f>"0.572"</f>
        <v>0.572</v>
      </c>
      <c r="AJ44" s="1" t="str">
        <f>"0.463"</f>
        <v>0.463</v>
      </c>
      <c r="AK44" s="1" t="str">
        <f>"0.449"</f>
        <v>0.449</v>
      </c>
      <c r="AL44" s="1" t="str">
        <f>"4.246"</f>
        <v>4.246</v>
      </c>
      <c r="AM44" s="1" t="str">
        <f>"4.517*"</f>
        <v>4.517*</v>
      </c>
      <c r="AN44" s="1" t="str">
        <f>"0.991"</f>
        <v>0.991</v>
      </c>
      <c r="AO44" s="1" t="str">
        <f>"1.049"</f>
        <v>1.049</v>
      </c>
      <c r="AP44" s="1" t="str">
        <f>"1.538"</f>
        <v>1.538</v>
      </c>
      <c r="AQ44" s="1" t="str">
        <f>"1.396"</f>
        <v>1.396</v>
      </c>
      <c r="AR44" s="1" t="str">
        <f>"0.808"</f>
        <v>0.808</v>
      </c>
      <c r="AS44" s="1" t="str">
        <f>"0.786"</f>
        <v>0.786</v>
      </c>
      <c r="AT44" s="1" t="str">
        <f>"1.638"</f>
        <v>1.638</v>
      </c>
      <c r="AU44" s="1" t="str">
        <f>"1.288"</f>
        <v>1.288</v>
      </c>
      <c r="AV44" s="1" t="str">
        <f>"0.455"</f>
        <v>0.455</v>
      </c>
      <c r="AW44" s="1" t="str">
        <f>"0.496"</f>
        <v>0.496</v>
      </c>
      <c r="AX44" s="1" t="str">
        <f>"0.319"</f>
        <v>0.319</v>
      </c>
      <c r="AY44" s="1" t="str">
        <f>"0.410"</f>
        <v>0.410</v>
      </c>
      <c r="AZ44" s="1" t="str">
        <f>"0.354"</f>
        <v>0.354</v>
      </c>
      <c r="BA44" s="1" t="str">
        <f>"0.437"</f>
        <v>0.437</v>
      </c>
    </row>
    <row r="45" spans="1:53" x14ac:dyDescent="0.25">
      <c r="A45" s="1" t="str">
        <f>""</f>
        <v/>
      </c>
      <c r="B45" s="1" t="str">
        <f>"(0.269)"</f>
        <v>(0.269)</v>
      </c>
      <c r="C45" s="1" t="str">
        <f>"(0.272)"</f>
        <v>(0.272)</v>
      </c>
      <c r="D45" s="1" t="str">
        <f>"(0.218)"</f>
        <v>(0.218)</v>
      </c>
      <c r="E45" s="1" t="str">
        <f>"(0.237)"</f>
        <v>(0.237)</v>
      </c>
      <c r="F45" s="1" t="str">
        <f>"(0.958)"</f>
        <v>(0.958)</v>
      </c>
      <c r="G45" s="1" t="str">
        <f>"(1.011)"</f>
        <v>(1.011)</v>
      </c>
      <c r="H45" s="1" t="str">
        <f>"(0.375)"</f>
        <v>(0.375)</v>
      </c>
      <c r="I45" s="1" t="str">
        <f>"(0.336)"</f>
        <v>(0.336)</v>
      </c>
      <c r="J45" s="1" t="str">
        <f>"(0.307)"</f>
        <v>(0.307)</v>
      </c>
      <c r="K45" s="1" t="str">
        <f>"(0.442)"</f>
        <v>(0.442)</v>
      </c>
      <c r="L45" s="1" t="str">
        <f>"(0.629)"</f>
        <v>(0.629)</v>
      </c>
      <c r="M45" s="1" t="str">
        <f>"(0.695)"</f>
        <v>(0.695)</v>
      </c>
      <c r="N45" s="1" t="str">
        <f>"(0.413)"</f>
        <v>(0.413)</v>
      </c>
      <c r="O45" s="1" t="str">
        <f>"(0.406)"</f>
        <v>(0.406)</v>
      </c>
      <c r="P45" s="1" t="str">
        <f>"(3.041)"</f>
        <v>(3.041)</v>
      </c>
      <c r="Q45" s="1" t="str">
        <f>"(1.798)"</f>
        <v>(1.798)</v>
      </c>
      <c r="R45" s="1" t="str">
        <f>"(0.927)"</f>
        <v>(0.927)</v>
      </c>
      <c r="S45" s="1" t="str">
        <f>"(0.727)"</f>
        <v>(0.727)</v>
      </c>
      <c r="T45" s="1" t="str">
        <f>"(0.533)"</f>
        <v>(0.533)</v>
      </c>
      <c r="U45" s="1" t="str">
        <f>"(0.548)"</f>
        <v>(0.548)</v>
      </c>
      <c r="V45" s="1" t="str">
        <f>"(0.331)"</f>
        <v>(0.331)</v>
      </c>
      <c r="W45" s="1" t="str">
        <f>"(0.337)"</f>
        <v>(0.337)</v>
      </c>
      <c r="X45" s="1" t="str">
        <f>"(0.216)"</f>
        <v>(0.216)</v>
      </c>
      <c r="Y45" s="1" t="str">
        <f>"(0.213)"</f>
        <v>(0.213)</v>
      </c>
      <c r="Z45" s="1" t="str">
        <f>"(1.084)"</f>
        <v>(1.084)</v>
      </c>
      <c r="AA45" s="1" t="str">
        <f>"(1.113)"</f>
        <v>(1.113)</v>
      </c>
      <c r="AB45" s="1" t="str">
        <f>"(2.267)"</f>
        <v>(2.267)</v>
      </c>
      <c r="AC45" s="1" t="str">
        <f>"(2.349)"</f>
        <v>(2.349)</v>
      </c>
      <c r="AD45" s="1" t="str">
        <f>"(0.924)"</f>
        <v>(0.924)</v>
      </c>
      <c r="AE45" s="1" t="str">
        <f>"(0.881)"</f>
        <v>(0.881)</v>
      </c>
      <c r="AF45" s="1" t="str">
        <f>"(0.146)"</f>
        <v>(0.146)</v>
      </c>
      <c r="AG45" s="1" t="str">
        <f>"(0.156)"</f>
        <v>(0.156)</v>
      </c>
      <c r="AH45" s="1" t="str">
        <f>"(0.261)"</f>
        <v>(0.261)</v>
      </c>
      <c r="AI45" s="1" t="str">
        <f>"(0.255)"</f>
        <v>(0.255)</v>
      </c>
      <c r="AJ45" s="1" t="str">
        <f>"(0.341)"</f>
        <v>(0.341)</v>
      </c>
      <c r="AK45" s="1" t="str">
        <f>"(0.333)"</f>
        <v>(0.333)</v>
      </c>
      <c r="AL45" s="1" t="str">
        <f>"(3.425)"</f>
        <v>(3.425)</v>
      </c>
      <c r="AM45" s="1" t="str">
        <f>"(3.470)"</f>
        <v>(3.470)</v>
      </c>
      <c r="AN45" s="1" t="str">
        <f>"(0.673)"</f>
        <v>(0.673)</v>
      </c>
      <c r="AO45" s="1" t="str">
        <f>"(0.717)"</f>
        <v>(0.717)</v>
      </c>
      <c r="AP45" s="1" t="str">
        <f>"(0.718)"</f>
        <v>(0.718)</v>
      </c>
      <c r="AQ45" s="1" t="str">
        <f>"(0.648)"</f>
        <v>(0.648)</v>
      </c>
      <c r="AR45" s="1" t="str">
        <f>"(0.842)"</f>
        <v>(0.842)</v>
      </c>
      <c r="AS45" s="1" t="str">
        <f>"(0.833)"</f>
        <v>(0.833)</v>
      </c>
      <c r="AT45" s="1" t="str">
        <f>"(1.607)"</f>
        <v>(1.607)</v>
      </c>
      <c r="AU45" s="1" t="str">
        <f>"(1.322)"</f>
        <v>(1.322)</v>
      </c>
      <c r="AV45" s="1" t="str">
        <f>"(0.385)"</f>
        <v>(0.385)</v>
      </c>
      <c r="AW45" s="1" t="str">
        <f>"(0.434)"</f>
        <v>(0.434)</v>
      </c>
      <c r="AX45" s="1" t="str">
        <f>"(0.298)"</f>
        <v>(0.298)</v>
      </c>
      <c r="AY45" s="1" t="str">
        <f>"(0.311)"</f>
        <v>(0.311)</v>
      </c>
      <c r="AZ45" s="1" t="str">
        <f>"(0.267)"</f>
        <v>(0.267)</v>
      </c>
      <c r="BA45" s="1" t="str">
        <f>"(0.342)"</f>
        <v>(0.342)</v>
      </c>
    </row>
    <row r="46" spans="1:53" x14ac:dyDescent="0.25">
      <c r="A46" s="1" t="str">
        <f>"Parent age"</f>
        <v>Parent age</v>
      </c>
      <c r="B46" s="1" t="str">
        <f>"1.000"</f>
        <v>1.000</v>
      </c>
      <c r="C46" s="1" t="str">
        <f>"0.999"</f>
        <v>0.999</v>
      </c>
      <c r="D46" s="1" t="str">
        <f>"0.951*"</f>
        <v>0.951*</v>
      </c>
      <c r="E46" s="1" t="str">
        <f>"0.952*"</f>
        <v>0.952*</v>
      </c>
      <c r="F46" s="1" t="str">
        <f>"1.018"</f>
        <v>1.018</v>
      </c>
      <c r="G46" s="1" t="str">
        <f>"1.017"</f>
        <v>1.017</v>
      </c>
      <c r="H46" s="1" t="str">
        <f>"1.010"</f>
        <v>1.010</v>
      </c>
      <c r="I46" s="1" t="str">
        <f>"1.009"</f>
        <v>1.009</v>
      </c>
      <c r="J46" s="1" t="str">
        <f>"0.984"</f>
        <v>0.984</v>
      </c>
      <c r="K46" s="1" t="str">
        <f>"0.988"</f>
        <v>0.988</v>
      </c>
      <c r="L46" s="1" t="str">
        <f>"1.009"</f>
        <v>1.009</v>
      </c>
      <c r="M46" s="1" t="str">
        <f>"1.010"</f>
        <v>1.010</v>
      </c>
      <c r="N46" s="1" t="str">
        <f>"0.996"</f>
        <v>0.996</v>
      </c>
      <c r="O46" s="1" t="str">
        <f>"0.995"</f>
        <v>0.995</v>
      </c>
      <c r="P46" s="1" t="str">
        <f>"0.993"</f>
        <v>0.993</v>
      </c>
      <c r="Q46" s="1" t="str">
        <f>"0.976"</f>
        <v>0.976</v>
      </c>
      <c r="R46" s="1" t="str">
        <f>"1.017"</f>
        <v>1.017</v>
      </c>
      <c r="S46" s="1" t="str">
        <f>"1.015"</f>
        <v>1.015</v>
      </c>
      <c r="T46" s="1" t="str">
        <f>"1.007"</f>
        <v>1.007</v>
      </c>
      <c r="U46" s="1" t="str">
        <f>"1.009"</f>
        <v>1.009</v>
      </c>
      <c r="V46" s="1" t="str">
        <f>"1.022*"</f>
        <v>1.022*</v>
      </c>
      <c r="W46" s="1" t="str">
        <f>"1.021*"</f>
        <v>1.021*</v>
      </c>
      <c r="X46" s="1" t="str">
        <f>"0.986"</f>
        <v>0.986</v>
      </c>
      <c r="Y46" s="1" t="str">
        <f>"0.985"</f>
        <v>0.985</v>
      </c>
      <c r="Z46" s="1" t="str">
        <f>"0.983"</f>
        <v>0.983</v>
      </c>
      <c r="AA46" s="1" t="str">
        <f>"0.985"</f>
        <v>0.985</v>
      </c>
      <c r="AB46" s="1" t="str">
        <f>"0.996"</f>
        <v>0.996</v>
      </c>
      <c r="AC46" s="1" t="str">
        <f>"0.999"</f>
        <v>0.999</v>
      </c>
      <c r="AD46" s="1" t="str">
        <f>"1.004"</f>
        <v>1.004</v>
      </c>
      <c r="AE46" s="1" t="str">
        <f>"1.007"</f>
        <v>1.007</v>
      </c>
      <c r="AF46" s="1" t="str">
        <f>"1.016"</f>
        <v>1.016</v>
      </c>
      <c r="AG46" s="1" t="str">
        <f>"1.020"</f>
        <v>1.020</v>
      </c>
      <c r="AH46" s="1" t="str">
        <f>"1.031**"</f>
        <v>1.031**</v>
      </c>
      <c r="AI46" s="1" t="str">
        <f>"1.032**"</f>
        <v>1.032**</v>
      </c>
      <c r="AJ46" s="1" t="str">
        <f>"0.989"</f>
        <v>0.989</v>
      </c>
      <c r="AK46" s="1" t="str">
        <f>"0.988"</f>
        <v>0.988</v>
      </c>
      <c r="AL46" s="1" t="str">
        <f>"1.017"</f>
        <v>1.017</v>
      </c>
      <c r="AM46" s="1" t="str">
        <f>"1.018"</f>
        <v>1.018</v>
      </c>
      <c r="AN46" s="1" t="str">
        <f>"0.969"</f>
        <v>0.969</v>
      </c>
      <c r="AO46" s="1" t="str">
        <f>"0.969"</f>
        <v>0.969</v>
      </c>
      <c r="AP46" s="1" t="str">
        <f>"0.990"</f>
        <v>0.990</v>
      </c>
      <c r="AQ46" s="1" t="str">
        <f>"0.988"</f>
        <v>0.988</v>
      </c>
      <c r="AR46" s="1" t="str">
        <f>"1.015"</f>
        <v>1.015</v>
      </c>
      <c r="AS46" s="1" t="str">
        <f>"1.016"</f>
        <v>1.016</v>
      </c>
      <c r="AT46" s="1" t="str">
        <f>"0.982"</f>
        <v>0.982</v>
      </c>
      <c r="AU46" s="1" t="str">
        <f>"0.977"</f>
        <v>0.977</v>
      </c>
      <c r="AV46" s="1" t="str">
        <f>"1.006"</f>
        <v>1.006</v>
      </c>
      <c r="AW46" s="1" t="str">
        <f>"1.008"</f>
        <v>1.008</v>
      </c>
      <c r="AX46" s="1" t="str">
        <f>"1.008"</f>
        <v>1.008</v>
      </c>
      <c r="AY46" s="1" t="str">
        <f>"1.012"</f>
        <v>1.012</v>
      </c>
      <c r="AZ46" s="1" t="str">
        <f>"0.972"</f>
        <v>0.972</v>
      </c>
      <c r="BA46" s="1" t="str">
        <f>"0.974"</f>
        <v>0.974</v>
      </c>
    </row>
    <row r="47" spans="1:53" x14ac:dyDescent="0.25">
      <c r="A47" s="1" t="str">
        <f>""</f>
        <v/>
      </c>
      <c r="B47" s="1" t="str">
        <f>"(0.018)"</f>
        <v>(0.018)</v>
      </c>
      <c r="C47" s="1" t="str">
        <f>"(0.018)"</f>
        <v>(0.018)</v>
      </c>
      <c r="D47" s="1" t="str">
        <f>"(0.020)"</f>
        <v>(0.020)</v>
      </c>
      <c r="E47" s="1" t="str">
        <f>"(0.020)"</f>
        <v>(0.020)</v>
      </c>
      <c r="F47" s="1" t="str">
        <f>"(0.014)"</f>
        <v>(0.014)</v>
      </c>
      <c r="G47" s="1" t="str">
        <f>"(0.014)"</f>
        <v>(0.014)</v>
      </c>
      <c r="H47" s="1" t="str">
        <f>"(0.011)"</f>
        <v>(0.011)</v>
      </c>
      <c r="I47" s="1" t="str">
        <f>"(0.011)"</f>
        <v>(0.011)</v>
      </c>
      <c r="J47" s="1" t="str">
        <f>"(0.013)"</f>
        <v>(0.013)</v>
      </c>
      <c r="K47" s="1" t="str">
        <f>"(0.013)"</f>
        <v>(0.013)</v>
      </c>
      <c r="L47" s="1" t="str">
        <f>"(0.025)"</f>
        <v>(0.025)</v>
      </c>
      <c r="M47" s="1" t="str">
        <f>"(0.025)"</f>
        <v>(0.025)</v>
      </c>
      <c r="N47" s="1" t="str">
        <f>"(0.013)"</f>
        <v>(0.013)</v>
      </c>
      <c r="O47" s="1" t="str">
        <f>"(0.013)"</f>
        <v>(0.013)</v>
      </c>
      <c r="P47" s="1" t="str">
        <f>"(0.021)"</f>
        <v>(0.021)</v>
      </c>
      <c r="Q47" s="1" t="str">
        <f>"(0.021)"</f>
        <v>(0.021)</v>
      </c>
      <c r="R47" s="1" t="str">
        <f>"(0.012)"</f>
        <v>(0.012)</v>
      </c>
      <c r="S47" s="1" t="str">
        <f>"(0.013)"</f>
        <v>(0.013)</v>
      </c>
      <c r="T47" s="1" t="str">
        <f>"(0.015)"</f>
        <v>(0.015)</v>
      </c>
      <c r="U47" s="1" t="str">
        <f>"(0.014)"</f>
        <v>(0.014)</v>
      </c>
      <c r="V47" s="1" t="str">
        <f>"(0.010)"</f>
        <v>(0.010)</v>
      </c>
      <c r="W47" s="1" t="str">
        <f>"(0.010)"</f>
        <v>(0.010)</v>
      </c>
      <c r="X47" s="1" t="str">
        <f>"(0.011)"</f>
        <v>(0.011)</v>
      </c>
      <c r="Y47" s="1" t="str">
        <f>"(0.012)"</f>
        <v>(0.012)</v>
      </c>
      <c r="Z47" s="1" t="str">
        <f>"(0.012)"</f>
        <v>(0.012)</v>
      </c>
      <c r="AA47" s="1" t="str">
        <f>"(0.012)"</f>
        <v>(0.012)</v>
      </c>
      <c r="AB47" s="1" t="str">
        <f>"(0.014)"</f>
        <v>(0.014)</v>
      </c>
      <c r="AC47" s="1" t="str">
        <f>"(0.013)"</f>
        <v>(0.013)</v>
      </c>
      <c r="AD47" s="1" t="str">
        <f>"(0.010)"</f>
        <v>(0.010)</v>
      </c>
      <c r="AE47" s="1" t="str">
        <f>"(0.010)"</f>
        <v>(0.010)</v>
      </c>
      <c r="AF47" s="1" t="str">
        <f>"(0.024)"</f>
        <v>(0.024)</v>
      </c>
      <c r="AG47" s="1" t="str">
        <f>"(0.023)"</f>
        <v>(0.023)</v>
      </c>
      <c r="AH47" s="1" t="str">
        <f>"(0.012)"</f>
        <v>(0.012)</v>
      </c>
      <c r="AI47" s="1" t="str">
        <f>"(0.012)"</f>
        <v>(0.012)</v>
      </c>
      <c r="AJ47" s="1" t="str">
        <f>"(0.015)"</f>
        <v>(0.015)</v>
      </c>
      <c r="AK47" s="1" t="str">
        <f>"(0.014)"</f>
        <v>(0.014)</v>
      </c>
      <c r="AL47" s="1" t="str">
        <f>"(0.015)"</f>
        <v>(0.015)</v>
      </c>
      <c r="AM47" s="1" t="str">
        <f>"(0.014)"</f>
        <v>(0.014)</v>
      </c>
      <c r="AN47" s="1" t="str">
        <f>"(0.017)"</f>
        <v>(0.017)</v>
      </c>
      <c r="AO47" s="1" t="str">
        <f>"(0.017)"</f>
        <v>(0.017)</v>
      </c>
      <c r="AP47" s="1" t="str">
        <f>"(0.013)"</f>
        <v>(0.013)</v>
      </c>
      <c r="AQ47" s="1" t="str">
        <f>"(0.013)"</f>
        <v>(0.013)</v>
      </c>
      <c r="AR47" s="1" t="str">
        <f>"(0.030)"</f>
        <v>(0.030)</v>
      </c>
      <c r="AS47" s="1" t="str">
        <f>"(0.030)"</f>
        <v>(0.030)</v>
      </c>
      <c r="AT47" s="1" t="str">
        <f>"(0.016)"</f>
        <v>(0.016)</v>
      </c>
      <c r="AU47" s="1" t="str">
        <f>"(0.016)"</f>
        <v>(0.016)</v>
      </c>
      <c r="AV47" s="1" t="str">
        <f>"(0.017)"</f>
        <v>(0.017)</v>
      </c>
      <c r="AW47" s="1" t="str">
        <f>"(0.018)"</f>
        <v>(0.018)</v>
      </c>
      <c r="AX47" s="1" t="str">
        <f>"(0.023)"</f>
        <v>(0.023)</v>
      </c>
      <c r="AY47" s="1" t="str">
        <f>"(0.020)"</f>
        <v>(0.020)</v>
      </c>
      <c r="AZ47" s="1" t="str">
        <f>"(0.020)"</f>
        <v>(0.020)</v>
      </c>
      <c r="BA47" s="1" t="str">
        <f>"(0.021)"</f>
        <v>(0.021)</v>
      </c>
    </row>
    <row r="48" spans="1:53" x14ac:dyDescent="0.25">
      <c r="A48" s="1" t="str">
        <f>"Parent is male"</f>
        <v>Parent is male</v>
      </c>
      <c r="B48" s="1" t="str">
        <f>"0.508"</f>
        <v>0.508</v>
      </c>
      <c r="C48" s="1" t="str">
        <f>"0.521"</f>
        <v>0.521</v>
      </c>
      <c r="D48" s="1" t="str">
        <f>"4.630***"</f>
        <v>4.630***</v>
      </c>
      <c r="E48" s="1" t="str">
        <f>"4.654***"</f>
        <v>4.654***</v>
      </c>
      <c r="F48" s="1" t="str">
        <f>"0.981"</f>
        <v>0.981</v>
      </c>
      <c r="G48" s="1" t="str">
        <f>"1.010"</f>
        <v>1.010</v>
      </c>
      <c r="H48" s="1" t="str">
        <f>"2.294***"</f>
        <v>2.294***</v>
      </c>
      <c r="I48" s="1" t="str">
        <f>"2.282***"</f>
        <v>2.282***</v>
      </c>
      <c r="J48" s="1" t="str">
        <f>"1.091"</f>
        <v>1.091</v>
      </c>
      <c r="K48" s="1" t="str">
        <f>"1.127"</f>
        <v>1.127</v>
      </c>
      <c r="L48" s="1" t="str">
        <f>"0.830"</f>
        <v>0.830</v>
      </c>
      <c r="M48" s="1" t="str">
        <f>"0.867"</f>
        <v>0.867</v>
      </c>
      <c r="N48" s="1" t="str">
        <f>"0.560**"</f>
        <v>0.560**</v>
      </c>
      <c r="O48" s="1" t="str">
        <f>"0.563**"</f>
        <v>0.563**</v>
      </c>
      <c r="P48" s="1" t="str">
        <f>"2.099"</f>
        <v>2.099</v>
      </c>
      <c r="Q48" s="1" t="str">
        <f>"2.077*"</f>
        <v>2.077*</v>
      </c>
      <c r="R48" s="1" t="str">
        <f>"1.902***"</f>
        <v>1.902***</v>
      </c>
      <c r="S48" s="1" t="str">
        <f>"1.876***"</f>
        <v>1.876***</v>
      </c>
      <c r="T48" s="1" t="str">
        <f>"1.257"</f>
        <v>1.257</v>
      </c>
      <c r="U48" s="1" t="str">
        <f>"1.211"</f>
        <v>1.211</v>
      </c>
      <c r="V48" s="1" t="str">
        <f>"0.671*"</f>
        <v>0.671*</v>
      </c>
      <c r="W48" s="1" t="str">
        <f>"0.675*"</f>
        <v>0.675*</v>
      </c>
      <c r="X48" s="1" t="str">
        <f>"1.182"</f>
        <v>1.182</v>
      </c>
      <c r="Y48" s="1" t="str">
        <f>"1.228"</f>
        <v>1.228</v>
      </c>
      <c r="Z48" s="1" t="str">
        <f>"1.326"</f>
        <v>1.326</v>
      </c>
      <c r="AA48" s="1" t="str">
        <f>"1.338"</f>
        <v>1.338</v>
      </c>
      <c r="AB48" s="1" t="str">
        <f>"0.847"</f>
        <v>0.847</v>
      </c>
      <c r="AC48" s="1" t="str">
        <f>"0.819"</f>
        <v>0.819</v>
      </c>
      <c r="AD48" s="1" t="str">
        <f>"1.115"</f>
        <v>1.115</v>
      </c>
      <c r="AE48" s="1" t="str">
        <f>"1.080"</f>
        <v>1.080</v>
      </c>
      <c r="AF48" s="1" t="str">
        <f>"2.409**"</f>
        <v>2.409**</v>
      </c>
      <c r="AG48" s="1" t="str">
        <f>"2.463**"</f>
        <v>2.463**</v>
      </c>
      <c r="AH48" s="1" t="str">
        <f>"0.949"</f>
        <v>0.949</v>
      </c>
      <c r="AI48" s="1" t="str">
        <f>"0.945"</f>
        <v>0.945</v>
      </c>
      <c r="AJ48" s="1" t="str">
        <f>"1.789**"</f>
        <v>1.789**</v>
      </c>
      <c r="AK48" s="1" t="str">
        <f>"1.786**"</f>
        <v>1.786**</v>
      </c>
      <c r="AL48" s="1" t="str">
        <f>"0.998"</f>
        <v>0.998</v>
      </c>
      <c r="AM48" s="1" t="str">
        <f>"1.004"</f>
        <v>1.004</v>
      </c>
      <c r="AN48" s="1" t="str">
        <f>"0.694"</f>
        <v>0.694</v>
      </c>
      <c r="AO48" s="1" t="str">
        <f>"0.702"</f>
        <v>0.702</v>
      </c>
      <c r="AP48" s="1" t="str">
        <f>"1.678*"</f>
        <v>1.678*</v>
      </c>
      <c r="AQ48" s="1" t="str">
        <f>"1.692*"</f>
        <v>1.692*</v>
      </c>
      <c r="AR48" s="1" t="str">
        <f>"0.340*"</f>
        <v>0.340*</v>
      </c>
      <c r="AS48" s="1" t="str">
        <f>"0.338*"</f>
        <v>0.338*</v>
      </c>
      <c r="AT48" s="1" t="str">
        <f>"1.646*"</f>
        <v>1.646*</v>
      </c>
      <c r="AU48" s="1" t="str">
        <f>"1.639*"</f>
        <v>1.639*</v>
      </c>
      <c r="AV48" s="1" t="str">
        <f>"1.189"</f>
        <v>1.189</v>
      </c>
      <c r="AW48" s="1" t="str">
        <f>"1.176"</f>
        <v>1.176</v>
      </c>
      <c r="AX48" s="1" t="str">
        <f>"1.158"</f>
        <v>1.158</v>
      </c>
      <c r="AY48" s="1" t="str">
        <f>"1.118"</f>
        <v>1.118</v>
      </c>
      <c r="AZ48" s="1" t="str">
        <f>"1.226"</f>
        <v>1.226</v>
      </c>
      <c r="BA48" s="1" t="str">
        <f>"1.197"</f>
        <v>1.197</v>
      </c>
    </row>
    <row r="49" spans="1:53" x14ac:dyDescent="0.25">
      <c r="A49" s="1" t="str">
        <f>""</f>
        <v/>
      </c>
      <c r="B49" s="1" t="str">
        <f>"(0.190)"</f>
        <v>(0.190)</v>
      </c>
      <c r="C49" s="1" t="str">
        <f>"(0.194)"</f>
        <v>(0.194)</v>
      </c>
      <c r="D49" s="1" t="str">
        <f>"(1.545)"</f>
        <v>(1.545)</v>
      </c>
      <c r="E49" s="1" t="str">
        <f>"(1.554)"</f>
        <v>(1.554)</v>
      </c>
      <c r="F49" s="1" t="str">
        <f>"(0.297)"</f>
        <v>(0.297)</v>
      </c>
      <c r="G49" s="1" t="str">
        <f>"(0.301)"</f>
        <v>(0.301)</v>
      </c>
      <c r="H49" s="1" t="str">
        <f>"(0.482)"</f>
        <v>(0.482)</v>
      </c>
      <c r="I49" s="1" t="str">
        <f>"(0.488)"</f>
        <v>(0.488)</v>
      </c>
      <c r="J49" s="1" t="str">
        <f>"(0.265)"</f>
        <v>(0.265)</v>
      </c>
      <c r="K49" s="1" t="str">
        <f>"(0.264)"</f>
        <v>(0.264)</v>
      </c>
      <c r="L49" s="1" t="str">
        <f>"(0.386)"</f>
        <v>(0.386)</v>
      </c>
      <c r="M49" s="1" t="str">
        <f>"(0.384)"</f>
        <v>(0.384)</v>
      </c>
      <c r="N49" s="1" t="str">
        <f>"(0.105)"</f>
        <v>(0.105)</v>
      </c>
      <c r="O49" s="1" t="str">
        <f>"(0.104)"</f>
        <v>(0.104)</v>
      </c>
      <c r="P49" s="1" t="str">
        <f>"(0.802)"</f>
        <v>(0.802)</v>
      </c>
      <c r="Q49" s="1" t="str">
        <f>"(0.735)"</f>
        <v>(0.735)</v>
      </c>
      <c r="R49" s="1" t="str">
        <f>"(0.346)"</f>
        <v>(0.346)</v>
      </c>
      <c r="S49" s="1" t="str">
        <f>"(0.347)"</f>
        <v>(0.347)</v>
      </c>
      <c r="T49" s="1" t="str">
        <f>"(0.226)"</f>
        <v>(0.226)</v>
      </c>
      <c r="U49" s="1" t="str">
        <f>"(0.211)"</f>
        <v>(0.211)</v>
      </c>
      <c r="V49" s="1" t="str">
        <f>"(0.114)"</f>
        <v>(0.114)</v>
      </c>
      <c r="W49" s="1" t="str">
        <f>"(0.115)"</f>
        <v>(0.115)</v>
      </c>
      <c r="X49" s="1" t="str">
        <f>"(0.200)"</f>
        <v>(0.200)</v>
      </c>
      <c r="Y49" s="1" t="str">
        <f>"(0.201)"</f>
        <v>(0.201)</v>
      </c>
      <c r="Z49" s="1" t="str">
        <f>"(0.219)"</f>
        <v>(0.219)</v>
      </c>
      <c r="AA49" s="1" t="str">
        <f>"(0.210)"</f>
        <v>(0.210)</v>
      </c>
      <c r="AB49" s="1" t="str">
        <f>"(0.149)"</f>
        <v>(0.149)</v>
      </c>
      <c r="AC49" s="1" t="str">
        <f>"(0.145)"</f>
        <v>(0.145)</v>
      </c>
      <c r="AD49" s="1" t="str">
        <f>"(0.161)"</f>
        <v>(0.161)</v>
      </c>
      <c r="AE49" s="1" t="str">
        <f>"(0.168)"</f>
        <v>(0.168)</v>
      </c>
      <c r="AF49" s="1" t="str">
        <f>"(0.783)"</f>
        <v>(0.783)</v>
      </c>
      <c r="AG49" s="1" t="str">
        <f>"(0.814)"</f>
        <v>(0.814)</v>
      </c>
      <c r="AH49" s="1" t="str">
        <f>"(0.233)"</f>
        <v>(0.233)</v>
      </c>
      <c r="AI49" s="1" t="str">
        <f>"(0.226)"</f>
        <v>(0.226)</v>
      </c>
      <c r="AJ49" s="1" t="str">
        <f>"(0.351)"</f>
        <v>(0.351)</v>
      </c>
      <c r="AK49" s="1" t="str">
        <f>"(0.351)"</f>
        <v>(0.351)</v>
      </c>
      <c r="AL49" s="1" t="str">
        <f>"(0.196)"</f>
        <v>(0.196)</v>
      </c>
      <c r="AM49" s="1" t="str">
        <f>"(0.196)"</f>
        <v>(0.196)</v>
      </c>
      <c r="AN49" s="1" t="str">
        <f>"(0.196)"</f>
        <v>(0.196)</v>
      </c>
      <c r="AO49" s="1" t="str">
        <f>"(0.195)"</f>
        <v>(0.195)</v>
      </c>
      <c r="AP49" s="1" t="str">
        <f>"(0.390)"</f>
        <v>(0.390)</v>
      </c>
      <c r="AQ49" s="1" t="str">
        <f>"(0.388)"</f>
        <v>(0.388)</v>
      </c>
      <c r="AR49" s="1" t="str">
        <f>"(0.163)"</f>
        <v>(0.163)</v>
      </c>
      <c r="AS49" s="1" t="str">
        <f>"(0.163)"</f>
        <v>(0.163)</v>
      </c>
      <c r="AT49" s="1" t="str">
        <f>"(0.380)"</f>
        <v>(0.380)</v>
      </c>
      <c r="AU49" s="1" t="str">
        <f>"(0.378)"</f>
        <v>(0.378)</v>
      </c>
      <c r="AV49" s="1" t="str">
        <f>"(0.331)"</f>
        <v>(0.331)</v>
      </c>
      <c r="AW49" s="1" t="str">
        <f>"(0.327)"</f>
        <v>(0.327)</v>
      </c>
      <c r="AX49" s="1" t="str">
        <f>"(0.394)"</f>
        <v>(0.394)</v>
      </c>
      <c r="AY49" s="1" t="str">
        <f>"(0.336)"</f>
        <v>(0.336)</v>
      </c>
      <c r="AZ49" s="1" t="str">
        <f>"(0.391)"</f>
        <v>(0.391)</v>
      </c>
      <c r="BA49" s="1" t="str">
        <f>"(0.377)"</f>
        <v>(0.377)</v>
      </c>
    </row>
    <row r="50" spans="1:53" x14ac:dyDescent="0.25">
      <c r="A50" s="1" t="str">
        <f>"Parent has not attended college"</f>
        <v>Parent has not attended college</v>
      </c>
      <c r="B50" s="1" t="str">
        <f>"1.161"</f>
        <v>1.161</v>
      </c>
      <c r="C50" s="1" t="str">
        <f>"1.195"</f>
        <v>1.195</v>
      </c>
      <c r="D50" s="1" t="str">
        <f>"0.878"</f>
        <v>0.878</v>
      </c>
      <c r="E50" s="1" t="str">
        <f>"0.881"</f>
        <v>0.881</v>
      </c>
      <c r="F50" s="1" t="str">
        <f>"0.347***"</f>
        <v>0.347***</v>
      </c>
      <c r="G50" s="1" t="str">
        <f>"0.350***"</f>
        <v>0.350***</v>
      </c>
      <c r="H50" s="1" t="str">
        <f>"0.918"</f>
        <v>0.918</v>
      </c>
      <c r="I50" s="1" t="str">
        <f>"0.938"</f>
        <v>0.938</v>
      </c>
      <c r="J50" s="1" t="str">
        <f>"0.395***"</f>
        <v>0.395***</v>
      </c>
      <c r="K50" s="1" t="str">
        <f>"0.386***"</f>
        <v>0.386***</v>
      </c>
      <c r="L50" s="1" t="str">
        <f>"0.334"</f>
        <v>0.334</v>
      </c>
      <c r="M50" s="1" t="str">
        <f>"0.358"</f>
        <v>0.358</v>
      </c>
      <c r="N50" s="1" t="str">
        <f>"1.286"</f>
        <v>1.286</v>
      </c>
      <c r="O50" s="1" t="str">
        <f>"1.302"</f>
        <v>1.302</v>
      </c>
      <c r="P50" s="1" t="str">
        <f>"0.655"</f>
        <v>0.655</v>
      </c>
      <c r="Q50" s="1" t="str">
        <f>"0.520"</f>
        <v>0.520</v>
      </c>
      <c r="R50" s="1" t="str">
        <f>"0.926"</f>
        <v>0.926</v>
      </c>
      <c r="S50" s="1" t="str">
        <f>"0.930"</f>
        <v>0.930</v>
      </c>
      <c r="T50" s="1" t="str">
        <f>"0.696"</f>
        <v>0.696</v>
      </c>
      <c r="U50" s="1" t="str">
        <f>"0.731"</f>
        <v>0.731</v>
      </c>
      <c r="V50" s="1" t="str">
        <f>"0.799"</f>
        <v>0.799</v>
      </c>
      <c r="W50" s="1" t="str">
        <f>"0.799"</f>
        <v>0.799</v>
      </c>
      <c r="X50" s="1" t="str">
        <f>"0.665"</f>
        <v>0.665</v>
      </c>
      <c r="Y50" s="1" t="str">
        <f>"0.654"</f>
        <v>0.654</v>
      </c>
      <c r="Z50" s="1" t="str">
        <f>"1.159"</f>
        <v>1.159</v>
      </c>
      <c r="AA50" s="1" t="str">
        <f>"1.152"</f>
        <v>1.152</v>
      </c>
      <c r="AB50" s="1" t="str">
        <f>"1.747*"</f>
        <v>1.747*</v>
      </c>
      <c r="AC50" s="1" t="str">
        <f>"1.826*"</f>
        <v>1.826*</v>
      </c>
      <c r="AD50" s="1" t="str">
        <f>"1.781**"</f>
        <v>1.781**</v>
      </c>
      <c r="AE50" s="1" t="str">
        <f>"1.730**"</f>
        <v>1.730**</v>
      </c>
      <c r="AF50" s="1" t="str">
        <f>"0.377*"</f>
        <v>0.377*</v>
      </c>
      <c r="AG50" s="1" t="str">
        <f>"0.386*"</f>
        <v>0.386*</v>
      </c>
      <c r="AH50" s="1" t="str">
        <f>"0.494*"</f>
        <v>0.494*</v>
      </c>
      <c r="AI50" s="1" t="str">
        <f>"0.492**"</f>
        <v>0.492**</v>
      </c>
      <c r="AJ50" s="1" t="str">
        <f>"0.775"</f>
        <v>0.775</v>
      </c>
      <c r="AK50" s="1" t="str">
        <f>"0.771"</f>
        <v>0.771</v>
      </c>
      <c r="AL50" s="1" t="str">
        <f>"0.738"</f>
        <v>0.738</v>
      </c>
      <c r="AM50" s="1" t="str">
        <f>"0.739"</f>
        <v>0.739</v>
      </c>
      <c r="AN50" s="1" t="str">
        <f>"1.191"</f>
        <v>1.191</v>
      </c>
      <c r="AO50" s="1" t="str">
        <f>"1.174"</f>
        <v>1.174</v>
      </c>
      <c r="AP50" s="1" t="str">
        <f>"0.773"</f>
        <v>0.773</v>
      </c>
      <c r="AQ50" s="1" t="str">
        <f>"0.765"</f>
        <v>0.765</v>
      </c>
      <c r="AR50" s="1" t="str">
        <f>"1.137"</f>
        <v>1.137</v>
      </c>
      <c r="AS50" s="1" t="str">
        <f>"1.115"</f>
        <v>1.115</v>
      </c>
      <c r="AT50" s="1" t="str">
        <f>"0.799"</f>
        <v>0.799</v>
      </c>
      <c r="AU50" s="1" t="str">
        <f>"0.802"</f>
        <v>0.802</v>
      </c>
      <c r="AV50" s="1" t="str">
        <f>"1.064"</f>
        <v>1.064</v>
      </c>
      <c r="AW50" s="1" t="str">
        <f>"1.137"</f>
        <v>1.137</v>
      </c>
      <c r="AX50" s="1" t="str">
        <f>"0.643"</f>
        <v>0.643</v>
      </c>
      <c r="AY50" s="1" t="str">
        <f>"0.667"</f>
        <v>0.667</v>
      </c>
      <c r="AZ50" s="1" t="str">
        <f>"0.517"</f>
        <v>0.517</v>
      </c>
      <c r="BA50" s="1" t="str">
        <f>"0.531"</f>
        <v>0.531</v>
      </c>
    </row>
    <row r="51" spans="1:53" x14ac:dyDescent="0.25">
      <c r="A51" s="1" t="str">
        <f>""</f>
        <v/>
      </c>
      <c r="B51" s="1" t="str">
        <f>"(0.504)"</f>
        <v>(0.504)</v>
      </c>
      <c r="C51" s="1" t="str">
        <f>"(0.515)"</f>
        <v>(0.515)</v>
      </c>
      <c r="D51" s="1" t="str">
        <f>"(0.313)"</f>
        <v>(0.313)</v>
      </c>
      <c r="E51" s="1" t="str">
        <f>"(0.320)"</f>
        <v>(0.320)</v>
      </c>
      <c r="F51" s="1" t="str">
        <f>"(0.104)"</f>
        <v>(0.104)</v>
      </c>
      <c r="G51" s="1" t="str">
        <f>"(0.105)"</f>
        <v>(0.105)</v>
      </c>
      <c r="H51" s="1" t="str">
        <f>"(0.269)"</f>
        <v>(0.269)</v>
      </c>
      <c r="I51" s="1" t="str">
        <f>"(0.270)"</f>
        <v>(0.270)</v>
      </c>
      <c r="J51" s="1" t="str">
        <f>"(0.100)"</f>
        <v>(0.100)</v>
      </c>
      <c r="K51" s="1" t="str">
        <f>"(0.098)"</f>
        <v>(0.098)</v>
      </c>
      <c r="L51" s="1" t="str">
        <f>"(0.194)"</f>
        <v>(0.194)</v>
      </c>
      <c r="M51" s="1" t="str">
        <f>"(0.201)"</f>
        <v>(0.201)</v>
      </c>
      <c r="N51" s="1" t="str">
        <f>"(0.302)"</f>
        <v>(0.302)</v>
      </c>
      <c r="O51" s="1" t="str">
        <f>"(0.304)"</f>
        <v>(0.304)</v>
      </c>
      <c r="P51" s="1" t="str">
        <f>"(0.331)"</f>
        <v>(0.331)</v>
      </c>
      <c r="Q51" s="1" t="str">
        <f>"(0.243)"</f>
        <v>(0.243)</v>
      </c>
      <c r="R51" s="1" t="str">
        <f>"(0.202)"</f>
        <v>(0.202)</v>
      </c>
      <c r="S51" s="1" t="str">
        <f>"(0.202)"</f>
        <v>(0.202)</v>
      </c>
      <c r="T51" s="1" t="str">
        <f>"(0.173)"</f>
        <v>(0.173)</v>
      </c>
      <c r="U51" s="1" t="str">
        <f>"(0.174)"</f>
        <v>(0.174)</v>
      </c>
      <c r="V51" s="1" t="str">
        <f>"(0.183)"</f>
        <v>(0.183)</v>
      </c>
      <c r="W51" s="1" t="str">
        <f>"(0.185)"</f>
        <v>(0.185)</v>
      </c>
      <c r="X51" s="1" t="str">
        <f>"(0.157)"</f>
        <v>(0.157)</v>
      </c>
      <c r="Y51" s="1" t="str">
        <f>"(0.156)"</f>
        <v>(0.156)</v>
      </c>
      <c r="Z51" s="1" t="str">
        <f>"(0.263)"</f>
        <v>(0.263)</v>
      </c>
      <c r="AA51" s="1" t="str">
        <f>"(0.267)"</f>
        <v>(0.267)</v>
      </c>
      <c r="AB51" s="1" t="str">
        <f>"(0.487)"</f>
        <v>(0.487)</v>
      </c>
      <c r="AC51" s="1" t="str">
        <f>"(0.526)"</f>
        <v>(0.526)</v>
      </c>
      <c r="AD51" s="1" t="str">
        <f>"(0.349)"</f>
        <v>(0.349)</v>
      </c>
      <c r="AE51" s="1" t="str">
        <f>"(0.359)"</f>
        <v>(0.359)</v>
      </c>
      <c r="AF51" s="1" t="str">
        <f>"(0.166)"</f>
        <v>(0.166)</v>
      </c>
      <c r="AG51" s="1" t="str">
        <f>"(0.169)"</f>
        <v>(0.169)</v>
      </c>
      <c r="AH51" s="1" t="str">
        <f>"(0.136)"</f>
        <v>(0.136)</v>
      </c>
      <c r="AI51" s="1" t="str">
        <f>"(0.134)"</f>
        <v>(0.134)</v>
      </c>
      <c r="AJ51" s="1" t="str">
        <f>"(0.187)"</f>
        <v>(0.187)</v>
      </c>
      <c r="AK51" s="1" t="str">
        <f>"(0.186)"</f>
        <v>(0.186)</v>
      </c>
      <c r="AL51" s="1" t="str">
        <f>"(0.161)"</f>
        <v>(0.161)</v>
      </c>
      <c r="AM51" s="1" t="str">
        <f>"(0.163)"</f>
        <v>(0.163)</v>
      </c>
      <c r="AN51" s="1" t="str">
        <f>"(0.398)"</f>
        <v>(0.398)</v>
      </c>
      <c r="AO51" s="1" t="str">
        <f>"(0.392)"</f>
        <v>(0.392)</v>
      </c>
      <c r="AP51" s="1" t="str">
        <f>"(0.218)"</f>
        <v>(0.218)</v>
      </c>
      <c r="AQ51" s="1" t="str">
        <f>"(0.215)"</f>
        <v>(0.215)</v>
      </c>
      <c r="AR51" s="1" t="str">
        <f>"(0.710)"</f>
        <v>(0.710)</v>
      </c>
      <c r="AS51" s="1" t="str">
        <f>"(0.703)"</f>
        <v>(0.703)</v>
      </c>
      <c r="AT51" s="1" t="str">
        <f>"(0.254)"</f>
        <v>(0.254)</v>
      </c>
      <c r="AU51" s="1" t="str">
        <f>"(0.254)"</f>
        <v>(0.254)</v>
      </c>
      <c r="AV51" s="1" t="str">
        <f>"(0.347)"</f>
        <v>(0.347)</v>
      </c>
      <c r="AW51" s="1" t="str">
        <f>"(0.367)"</f>
        <v>(0.367)</v>
      </c>
      <c r="AX51" s="1" t="str">
        <f>"(0.226)"</f>
        <v>(0.226)</v>
      </c>
      <c r="AY51" s="1" t="str">
        <f>"(0.239)"</f>
        <v>(0.239)</v>
      </c>
      <c r="AZ51" s="1" t="str">
        <f>"(0.235)"</f>
        <v>(0.235)</v>
      </c>
      <c r="BA51" s="1" t="str">
        <f>"(0.243)"</f>
        <v>(0.243)</v>
      </c>
    </row>
    <row r="52" spans="1:53" x14ac:dyDescent="0.25">
      <c r="A52" s="1" t="str">
        <f>"Parent attended college but has less than Bachelor's degree"</f>
        <v>Parent attended college but has less than Bachelor's degree</v>
      </c>
      <c r="B52" s="1" t="str">
        <f>"1.184"</f>
        <v>1.184</v>
      </c>
      <c r="C52" s="1" t="str">
        <f>"1.167"</f>
        <v>1.167</v>
      </c>
      <c r="D52" s="1" t="str">
        <f>"1.222"</f>
        <v>1.222</v>
      </c>
      <c r="E52" s="1" t="str">
        <f>"1.222"</f>
        <v>1.222</v>
      </c>
      <c r="F52" s="1" t="str">
        <f>"0.693"</f>
        <v>0.693</v>
      </c>
      <c r="G52" s="1" t="str">
        <f>"0.699"</f>
        <v>0.699</v>
      </c>
      <c r="H52" s="1" t="str">
        <f>"1.066"</f>
        <v>1.066</v>
      </c>
      <c r="I52" s="1" t="str">
        <f>"1.058"</f>
        <v>1.058</v>
      </c>
      <c r="J52" s="1" t="str">
        <f>"0.766"</f>
        <v>0.766</v>
      </c>
      <c r="K52" s="1" t="str">
        <f>"0.763"</f>
        <v>0.763</v>
      </c>
      <c r="L52" s="1" t="str">
        <f>"0.754"</f>
        <v>0.754</v>
      </c>
      <c r="M52" s="1" t="str">
        <f>"0.757"</f>
        <v>0.757</v>
      </c>
      <c r="N52" s="1" t="str">
        <f>"0.999"</f>
        <v>0.999</v>
      </c>
      <c r="O52" s="1" t="str">
        <f>"0.996"</f>
        <v>0.996</v>
      </c>
      <c r="P52" s="1" t="str">
        <f>"1.110"</f>
        <v>1.110</v>
      </c>
      <c r="Q52" s="1" t="str">
        <f>"1.044"</f>
        <v>1.044</v>
      </c>
      <c r="R52" s="1" t="str">
        <f>"1.579***"</f>
        <v>1.579***</v>
      </c>
      <c r="S52" s="1" t="str">
        <f>"1.594***"</f>
        <v>1.594***</v>
      </c>
      <c r="T52" s="1" t="str">
        <f>"0.861"</f>
        <v>0.861</v>
      </c>
      <c r="U52" s="1" t="str">
        <f>"0.840"</f>
        <v>0.840</v>
      </c>
      <c r="V52" s="1" t="str">
        <f>"0.839"</f>
        <v>0.839</v>
      </c>
      <c r="W52" s="1" t="str">
        <f>"0.843"</f>
        <v>0.843</v>
      </c>
      <c r="X52" s="1" t="str">
        <f>"0.991"</f>
        <v>0.991</v>
      </c>
      <c r="Y52" s="1" t="str">
        <f>"1.015"</f>
        <v>1.015</v>
      </c>
      <c r="Z52" s="1" t="str">
        <f>"1.129"</f>
        <v>1.129</v>
      </c>
      <c r="AA52" s="1" t="str">
        <f>"1.150"</f>
        <v>1.150</v>
      </c>
      <c r="AB52" s="1" t="str">
        <f>"1.054"</f>
        <v>1.054</v>
      </c>
      <c r="AC52" s="1" t="str">
        <f>"1.103"</f>
        <v>1.103</v>
      </c>
      <c r="AD52" s="1" t="str">
        <f>"1.191"</f>
        <v>1.191</v>
      </c>
      <c r="AE52" s="1" t="str">
        <f>"1.235"</f>
        <v>1.235</v>
      </c>
      <c r="AF52" s="1" t="str">
        <f>"0.816"</f>
        <v>0.816</v>
      </c>
      <c r="AG52" s="1" t="str">
        <f>"0.803"</f>
        <v>0.803</v>
      </c>
      <c r="AH52" s="1" t="str">
        <f>"1.063"</f>
        <v>1.063</v>
      </c>
      <c r="AI52" s="1" t="str">
        <f>"1.077"</f>
        <v>1.077</v>
      </c>
      <c r="AJ52" s="1" t="str">
        <f>"0.880"</f>
        <v>0.880</v>
      </c>
      <c r="AK52" s="1" t="str">
        <f>"0.880"</f>
        <v>0.880</v>
      </c>
      <c r="AL52" s="1" t="str">
        <f>"0.903"</f>
        <v>0.903</v>
      </c>
      <c r="AM52" s="1" t="str">
        <f>"0.899"</f>
        <v>0.899</v>
      </c>
      <c r="AN52" s="1" t="str">
        <f>"1.460"</f>
        <v>1.460</v>
      </c>
      <c r="AO52" s="1" t="str">
        <f>"1.446"</f>
        <v>1.446</v>
      </c>
      <c r="AP52" s="1" t="str">
        <f>"0.754"</f>
        <v>0.754</v>
      </c>
      <c r="AQ52" s="1" t="str">
        <f>"0.760"</f>
        <v>0.760</v>
      </c>
      <c r="AR52" s="1" t="str">
        <f>"1.266"</f>
        <v>1.266</v>
      </c>
      <c r="AS52" s="1" t="str">
        <f>"1.247"</f>
        <v>1.247</v>
      </c>
      <c r="AT52" s="1" t="str">
        <f>"1.237"</f>
        <v>1.237</v>
      </c>
      <c r="AU52" s="1" t="str">
        <f>"1.148"</f>
        <v>1.148</v>
      </c>
      <c r="AV52" s="1" t="str">
        <f>"1.129"</f>
        <v>1.129</v>
      </c>
      <c r="AW52" s="1" t="str">
        <f>"1.177"</f>
        <v>1.177</v>
      </c>
      <c r="AX52" s="1" t="str">
        <f>"0.650"</f>
        <v>0.650</v>
      </c>
      <c r="AY52" s="1" t="str">
        <f>"0.672"</f>
        <v>0.672</v>
      </c>
      <c r="AZ52" s="1" t="str">
        <f>"0.687"</f>
        <v>0.687</v>
      </c>
      <c r="BA52" s="1" t="str">
        <f>"0.692"</f>
        <v>0.692</v>
      </c>
    </row>
    <row r="53" spans="1:53" x14ac:dyDescent="0.25">
      <c r="A53" s="1" t="str">
        <f>""</f>
        <v/>
      </c>
      <c r="B53" s="1" t="str">
        <f>"(0.287)"</f>
        <v>(0.287)</v>
      </c>
      <c r="C53" s="1" t="str">
        <f>"(0.274)"</f>
        <v>(0.274)</v>
      </c>
      <c r="D53" s="1" t="str">
        <f>"(0.287)"</f>
        <v>(0.287)</v>
      </c>
      <c r="E53" s="1" t="str">
        <f>"(0.285)"</f>
        <v>(0.285)</v>
      </c>
      <c r="F53" s="1" t="str">
        <f>"(0.141)"</f>
        <v>(0.141)</v>
      </c>
      <c r="G53" s="1" t="str">
        <f>"(0.141)"</f>
        <v>(0.141)</v>
      </c>
      <c r="H53" s="1" t="str">
        <f>"(0.184)"</f>
        <v>(0.184)</v>
      </c>
      <c r="I53" s="1" t="str">
        <f>"(0.181)"</f>
        <v>(0.181)</v>
      </c>
      <c r="J53" s="1" t="str">
        <f>"(0.122)"</f>
        <v>(0.122)</v>
      </c>
      <c r="K53" s="1" t="str">
        <f>"(0.126)"</f>
        <v>(0.126)</v>
      </c>
      <c r="L53" s="1" t="str">
        <f>"(0.311)"</f>
        <v>(0.311)</v>
      </c>
      <c r="M53" s="1" t="str">
        <f>"(0.307)"</f>
        <v>(0.307)</v>
      </c>
      <c r="N53" s="1" t="str">
        <f>"(0.140)"</f>
        <v>(0.140)</v>
      </c>
      <c r="O53" s="1" t="str">
        <f>"(0.139)"</f>
        <v>(0.139)</v>
      </c>
      <c r="P53" s="1" t="str">
        <f>"(0.401)"</f>
        <v>(0.401)</v>
      </c>
      <c r="Q53" s="1" t="str">
        <f>"(0.396)"</f>
        <v>(0.396)</v>
      </c>
      <c r="R53" s="1" t="str">
        <f>"(0.215)"</f>
        <v>(0.215)</v>
      </c>
      <c r="S53" s="1" t="str">
        <f>"(0.221)"</f>
        <v>(0.221)</v>
      </c>
      <c r="T53" s="1" t="str">
        <f>"(0.107)"</f>
        <v>(0.107)</v>
      </c>
      <c r="U53" s="1" t="str">
        <f>"(0.110)"</f>
        <v>(0.110)</v>
      </c>
      <c r="V53" s="1" t="str">
        <f>"(0.130)"</f>
        <v>(0.130)</v>
      </c>
      <c r="W53" s="1" t="str">
        <f>"(0.130)"</f>
        <v>(0.130)</v>
      </c>
      <c r="X53" s="1" t="str">
        <f>"(0.133)"</f>
        <v>(0.133)</v>
      </c>
      <c r="Y53" s="1" t="str">
        <f>"(0.134)"</f>
        <v>(0.134)</v>
      </c>
      <c r="Z53" s="1" t="str">
        <f>"(0.146)"</f>
        <v>(0.146)</v>
      </c>
      <c r="AA53" s="1" t="str">
        <f>"(0.150)"</f>
        <v>(0.150)</v>
      </c>
      <c r="AB53" s="1" t="str">
        <f>"(0.161)"</f>
        <v>(0.161)</v>
      </c>
      <c r="AC53" s="1" t="str">
        <f>"(0.169)"</f>
        <v>(0.169)</v>
      </c>
      <c r="AD53" s="1" t="str">
        <f>"(0.140)"</f>
        <v>(0.140)</v>
      </c>
      <c r="AE53" s="1" t="str">
        <f>"(0.148)"</f>
        <v>(0.148)</v>
      </c>
      <c r="AF53" s="1" t="str">
        <f>"(0.202)"</f>
        <v>(0.202)</v>
      </c>
      <c r="AG53" s="1" t="str">
        <f>"(0.200)"</f>
        <v>(0.200)</v>
      </c>
      <c r="AH53" s="1" t="str">
        <f>"(0.201)"</f>
        <v>(0.201)</v>
      </c>
      <c r="AI53" s="1" t="str">
        <f>"(0.206)"</f>
        <v>(0.206)</v>
      </c>
      <c r="AJ53" s="1" t="str">
        <f>"(0.121)"</f>
        <v>(0.121)</v>
      </c>
      <c r="AK53" s="1" t="str">
        <f>"(0.120)"</f>
        <v>(0.120)</v>
      </c>
      <c r="AL53" s="1" t="str">
        <f>"(0.122)"</f>
        <v>(0.122)</v>
      </c>
      <c r="AM53" s="1" t="str">
        <f>"(0.122)"</f>
        <v>(0.122)</v>
      </c>
      <c r="AN53" s="1" t="str">
        <f>"(0.320)"</f>
        <v>(0.320)</v>
      </c>
      <c r="AO53" s="1" t="str">
        <f>"(0.316)"</f>
        <v>(0.316)</v>
      </c>
      <c r="AP53" s="1" t="str">
        <f>"(0.115)"</f>
        <v>(0.115)</v>
      </c>
      <c r="AQ53" s="1" t="str">
        <f>"(0.117)"</f>
        <v>(0.117)</v>
      </c>
      <c r="AR53" s="1" t="str">
        <f>"(0.530)"</f>
        <v>(0.530)</v>
      </c>
      <c r="AS53" s="1" t="str">
        <f>"(0.530)"</f>
        <v>(0.530)</v>
      </c>
      <c r="AT53" s="1" t="str">
        <f>"(0.309)"</f>
        <v>(0.309)</v>
      </c>
      <c r="AU53" s="1" t="str">
        <f>"(0.278)"</f>
        <v>(0.278)</v>
      </c>
      <c r="AV53" s="1" t="str">
        <f>"(0.318)"</f>
        <v>(0.318)</v>
      </c>
      <c r="AW53" s="1" t="str">
        <f>"(0.331)"</f>
        <v>(0.331)</v>
      </c>
      <c r="AX53" s="1" t="str">
        <f>"(0.166)"</f>
        <v>(0.166)</v>
      </c>
      <c r="AY53" s="1" t="str">
        <f>"(0.170)"</f>
        <v>(0.170)</v>
      </c>
      <c r="AZ53" s="1" t="str">
        <f>"(0.169)"</f>
        <v>(0.169)</v>
      </c>
      <c r="BA53" s="1" t="str">
        <f>"(0.167)"</f>
        <v>(0.167)</v>
      </c>
    </row>
    <row r="54" spans="1:53" x14ac:dyDescent="0.25">
      <c r="A54" s="1" t="str">
        <f>"Child is male"</f>
        <v>Child is male</v>
      </c>
      <c r="B54" s="1" t="str">
        <f>"1.379"</f>
        <v>1.379</v>
      </c>
      <c r="C54" s="1" t="str">
        <f>"1.386"</f>
        <v>1.386</v>
      </c>
      <c r="D54" s="1" t="str">
        <f>"1.232"</f>
        <v>1.232</v>
      </c>
      <c r="E54" s="1" t="str">
        <f>"1.244"</f>
        <v>1.244</v>
      </c>
      <c r="F54" s="1" t="str">
        <f>"1.784*"</f>
        <v>1.784*</v>
      </c>
      <c r="G54" s="1" t="str">
        <f>"1.857*"</f>
        <v>1.857*</v>
      </c>
      <c r="H54" s="1" t="str">
        <f>"1.089"</f>
        <v>1.089</v>
      </c>
      <c r="I54" s="1" t="str">
        <f>"1.094"</f>
        <v>1.094</v>
      </c>
      <c r="J54" s="1" t="str">
        <f>"0.984"</f>
        <v>0.984</v>
      </c>
      <c r="K54" s="1" t="str">
        <f>"1.009"</f>
        <v>1.009</v>
      </c>
      <c r="L54" s="1" t="str">
        <f>"2.269"</f>
        <v>2.269</v>
      </c>
      <c r="M54" s="1" t="str">
        <f>"2.312"</f>
        <v>2.312</v>
      </c>
      <c r="N54" s="1" t="str">
        <f>"0.579**"</f>
        <v>0.579**</v>
      </c>
      <c r="O54" s="1" t="str">
        <f>"0.579**"</f>
        <v>0.579**</v>
      </c>
      <c r="P54" s="1" t="str">
        <f>"0.965"</f>
        <v>0.965</v>
      </c>
      <c r="Q54" s="1" t="str">
        <f>"0.970"</f>
        <v>0.970</v>
      </c>
      <c r="R54" s="1" t="str">
        <f>"1.623**"</f>
        <v>1.623**</v>
      </c>
      <c r="S54" s="1" t="str">
        <f>"1.539*"</f>
        <v>1.539*</v>
      </c>
      <c r="T54" s="1" t="str">
        <f>"1.435*"</f>
        <v>1.435*</v>
      </c>
      <c r="U54" s="1" t="str">
        <f>"1.463*"</f>
        <v>1.463*</v>
      </c>
      <c r="V54" s="1" t="str">
        <f>"1.385*"</f>
        <v>1.385*</v>
      </c>
      <c r="W54" s="1" t="str">
        <f>"1.379"</f>
        <v>1.379</v>
      </c>
      <c r="X54" s="1" t="str">
        <f>"1.172"</f>
        <v>1.172</v>
      </c>
      <c r="Y54" s="1" t="str">
        <f>"1.154"</f>
        <v>1.154</v>
      </c>
      <c r="Z54" s="1" t="str">
        <f>"1.030"</f>
        <v>1.030</v>
      </c>
      <c r="AA54" s="1" t="str">
        <f>"1.021"</f>
        <v>1.021</v>
      </c>
      <c r="AB54" s="1" t="str">
        <f>"1.039"</f>
        <v>1.039</v>
      </c>
      <c r="AC54" s="1" t="str">
        <f>"1.037"</f>
        <v>1.037</v>
      </c>
      <c r="AD54" s="1" t="str">
        <f>"0.942"</f>
        <v>0.942</v>
      </c>
      <c r="AE54" s="1" t="str">
        <f>"0.954"</f>
        <v>0.954</v>
      </c>
      <c r="AF54" s="1" t="str">
        <f>"0.576"</f>
        <v>0.576</v>
      </c>
      <c r="AG54" s="1" t="str">
        <f>"0.591"</f>
        <v>0.591</v>
      </c>
      <c r="AH54" s="1" t="str">
        <f>"0.751"</f>
        <v>0.751</v>
      </c>
      <c r="AI54" s="1" t="str">
        <f>"0.750"</f>
        <v>0.750</v>
      </c>
      <c r="AJ54" s="1" t="str">
        <f>"1.156"</f>
        <v>1.156</v>
      </c>
      <c r="AK54" s="1" t="str">
        <f>"1.149"</f>
        <v>1.149</v>
      </c>
      <c r="AL54" s="1" t="str">
        <f>"0.912"</f>
        <v>0.912</v>
      </c>
      <c r="AM54" s="1" t="str">
        <f>"0.929"</f>
        <v>0.929</v>
      </c>
      <c r="AN54" s="1" t="str">
        <f>"1.546"</f>
        <v>1.546</v>
      </c>
      <c r="AO54" s="1" t="str">
        <f>"1.531"</f>
        <v>1.531</v>
      </c>
      <c r="AP54" s="1" t="str">
        <f>"0.787"</f>
        <v>0.787</v>
      </c>
      <c r="AQ54" s="1" t="str">
        <f>"0.756"</f>
        <v>0.756</v>
      </c>
      <c r="AR54" s="1" t="str">
        <f>"2.713*"</f>
        <v>2.713*</v>
      </c>
      <c r="AS54" s="1" t="str">
        <f>"2.799*"</f>
        <v>2.799*</v>
      </c>
      <c r="AT54" s="1" t="str">
        <f>"0.696"</f>
        <v>0.696</v>
      </c>
      <c r="AU54" s="1" t="str">
        <f>"0.694"</f>
        <v>0.694</v>
      </c>
      <c r="AV54" s="1" t="str">
        <f>"0.955"</f>
        <v>0.955</v>
      </c>
      <c r="AW54" s="1" t="str">
        <f>"0.956"</f>
        <v>0.956</v>
      </c>
      <c r="AX54" s="1" t="str">
        <f>"0.753"</f>
        <v>0.753</v>
      </c>
      <c r="AY54" s="1" t="str">
        <f>"0.760"</f>
        <v>0.760</v>
      </c>
      <c r="AZ54" s="1" t="str">
        <f>"1.986*"</f>
        <v>1.986*</v>
      </c>
      <c r="BA54" s="1" t="str">
        <f>"1.977*"</f>
        <v>1.977*</v>
      </c>
    </row>
    <row r="55" spans="1:53" x14ac:dyDescent="0.25">
      <c r="A55" s="1" t="str">
        <f>""</f>
        <v/>
      </c>
      <c r="B55" s="1" t="str">
        <f>"(0.402)"</f>
        <v>(0.402)</v>
      </c>
      <c r="C55" s="1" t="str">
        <f>"(0.408)"</f>
        <v>(0.408)</v>
      </c>
      <c r="D55" s="1" t="str">
        <f>"(0.397)"</f>
        <v>(0.397)</v>
      </c>
      <c r="E55" s="1" t="str">
        <f>"(0.401)"</f>
        <v>(0.401)</v>
      </c>
      <c r="F55" s="1" t="str">
        <f>"(0.488)"</f>
        <v>(0.488)</v>
      </c>
      <c r="G55" s="1" t="str">
        <f>"(0.508)"</f>
        <v>(0.508)</v>
      </c>
      <c r="H55" s="1" t="str">
        <f>"(0.234)"</f>
        <v>(0.234)</v>
      </c>
      <c r="I55" s="1" t="str">
        <f>"(0.230)"</f>
        <v>(0.230)</v>
      </c>
      <c r="J55" s="1" t="str">
        <f>"(0.240)"</f>
        <v>(0.240)</v>
      </c>
      <c r="K55" s="1" t="str">
        <f>"(0.239)"</f>
        <v>(0.239)</v>
      </c>
      <c r="L55" s="1" t="str">
        <f>"(1.041)"</f>
        <v>(1.041)</v>
      </c>
      <c r="M55" s="1" t="str">
        <f>"(1.015)"</f>
        <v>(1.015)</v>
      </c>
      <c r="N55" s="1" t="str">
        <f>"(0.102)"</f>
        <v>(0.102)</v>
      </c>
      <c r="O55" s="1" t="str">
        <f>"(0.100)"</f>
        <v>(0.100)</v>
      </c>
      <c r="P55" s="1" t="str">
        <f>"(0.364)"</f>
        <v>(0.364)</v>
      </c>
      <c r="Q55" s="1" t="str">
        <f>"(0.352)"</f>
        <v>(0.352)</v>
      </c>
      <c r="R55" s="1" t="str">
        <f>"(0.285)"</f>
        <v>(0.285)</v>
      </c>
      <c r="S55" s="1" t="str">
        <f>"(0.277)"</f>
        <v>(0.277)</v>
      </c>
      <c r="T55" s="1" t="str">
        <f>"(0.249)"</f>
        <v>(0.249)</v>
      </c>
      <c r="U55" s="1" t="str">
        <f>"(0.252)"</f>
        <v>(0.252)</v>
      </c>
      <c r="V55" s="1" t="str">
        <f>"(0.227)"</f>
        <v>(0.227)</v>
      </c>
      <c r="W55" s="1" t="str">
        <f>"(0.227)"</f>
        <v>(0.227)</v>
      </c>
      <c r="X55" s="1" t="str">
        <f>"(0.190)"</f>
        <v>(0.190)</v>
      </c>
      <c r="Y55" s="1" t="str">
        <f>"(0.183)"</f>
        <v>(0.183)</v>
      </c>
      <c r="Z55" s="1" t="str">
        <f>"(0.165)"</f>
        <v>(0.165)</v>
      </c>
      <c r="AA55" s="1" t="str">
        <f>"(0.164)"</f>
        <v>(0.164)</v>
      </c>
      <c r="AB55" s="1" t="str">
        <f>"(0.178)"</f>
        <v>(0.178)</v>
      </c>
      <c r="AC55" s="1" t="str">
        <f>"(0.179)"</f>
        <v>(0.179)</v>
      </c>
      <c r="AD55" s="1" t="str">
        <f>"(0.143)"</f>
        <v>(0.143)</v>
      </c>
      <c r="AE55" s="1" t="str">
        <f>"(0.145)"</f>
        <v>(0.145)</v>
      </c>
      <c r="AF55" s="1" t="str">
        <f>"(0.201)"</f>
        <v>(0.201)</v>
      </c>
      <c r="AG55" s="1" t="str">
        <f>"(0.202)"</f>
        <v>(0.202)</v>
      </c>
      <c r="AH55" s="1" t="str">
        <f>"(0.165)"</f>
        <v>(0.165)</v>
      </c>
      <c r="AI55" s="1" t="str">
        <f>"(0.161)"</f>
        <v>(0.161)</v>
      </c>
      <c r="AJ55" s="1" t="str">
        <f>"(0.204)"</f>
        <v>(0.204)</v>
      </c>
      <c r="AK55" s="1" t="str">
        <f>"(0.205)"</f>
        <v>(0.205)</v>
      </c>
      <c r="AL55" s="1" t="str">
        <f>"(0.178)"</f>
        <v>(0.178)</v>
      </c>
      <c r="AM55" s="1" t="str">
        <f>"(0.183)"</f>
        <v>(0.183)</v>
      </c>
      <c r="AN55" s="1" t="str">
        <f>"(0.401)"</f>
        <v>(0.401)</v>
      </c>
      <c r="AO55" s="1" t="str">
        <f>"(0.393)"</f>
        <v>(0.393)</v>
      </c>
      <c r="AP55" s="1" t="str">
        <f>"(0.157)"</f>
        <v>(0.157)</v>
      </c>
      <c r="AQ55" s="1" t="str">
        <f>"(0.151)"</f>
        <v>(0.151)</v>
      </c>
      <c r="AR55" s="1" t="str">
        <f>"(1.138)"</f>
        <v>(1.138)</v>
      </c>
      <c r="AS55" s="1" t="str">
        <f>"(1.236)"</f>
        <v>(1.236)</v>
      </c>
      <c r="AT55" s="1" t="str">
        <f>"(0.170)"</f>
        <v>(0.170)</v>
      </c>
      <c r="AU55" s="1" t="str">
        <f>"(0.167)"</f>
        <v>(0.167)</v>
      </c>
      <c r="AV55" s="1" t="str">
        <f>"(0.279)"</f>
        <v>(0.279)</v>
      </c>
      <c r="AW55" s="1" t="str">
        <f>"(0.272)"</f>
        <v>(0.272)</v>
      </c>
      <c r="AX55" s="1" t="str">
        <f>"(0.233)"</f>
        <v>(0.233)</v>
      </c>
      <c r="AY55" s="1" t="str">
        <f>"(0.230)"</f>
        <v>(0.230)</v>
      </c>
      <c r="AZ55" s="1" t="str">
        <f>"(0.670)"</f>
        <v>(0.670)</v>
      </c>
      <c r="BA55" s="1" t="str">
        <f>"(0.665)"</f>
        <v>(0.665)</v>
      </c>
    </row>
    <row r="56" spans="1:53" x14ac:dyDescent="0.25">
      <c r="A56" s="1" t="str">
        <f>"age_group==    13.0000"</f>
        <v>age_group==    13.0000</v>
      </c>
      <c r="B56" s="1" t="str">
        <f>"0.965"</f>
        <v>0.965</v>
      </c>
      <c r="C56" s="1" t="str">
        <f>"0.924"</f>
        <v>0.924</v>
      </c>
      <c r="D56" s="1" t="str">
        <f>"0.678"</f>
        <v>0.678</v>
      </c>
      <c r="E56" s="1" t="str">
        <f>"0.677"</f>
        <v>0.677</v>
      </c>
      <c r="F56" s="1" t="str">
        <f>"1.429"</f>
        <v>1.429</v>
      </c>
      <c r="G56" s="1" t="str">
        <f>"1.451"</f>
        <v>1.451</v>
      </c>
      <c r="H56" s="1" t="str">
        <f>"1.436"</f>
        <v>1.436</v>
      </c>
      <c r="I56" s="1" t="str">
        <f>"1.413"</f>
        <v>1.413</v>
      </c>
      <c r="J56" s="1" t="str">
        <f>"2.771"</f>
        <v>2.771</v>
      </c>
      <c r="K56" s="1" t="str">
        <f>"2.796"</f>
        <v>2.796</v>
      </c>
      <c r="L56" s="1" t="str">
        <f>"0.694"</f>
        <v>0.694</v>
      </c>
      <c r="M56" s="1" t="str">
        <f>"0.682"</f>
        <v>0.682</v>
      </c>
      <c r="N56" s="1" t="str">
        <f>"1.798"</f>
        <v>1.798</v>
      </c>
      <c r="O56" s="1" t="str">
        <f>"1.774"</f>
        <v>1.774</v>
      </c>
      <c r="P56" s="1" t="str">
        <f>"0.525"</f>
        <v>0.525</v>
      </c>
      <c r="Q56" s="1" t="str">
        <f>"0.478"</f>
        <v>0.478</v>
      </c>
      <c r="R56" s="1" t="str">
        <f>"0.697"</f>
        <v>0.697</v>
      </c>
      <c r="S56" s="1" t="str">
        <f>"0.690"</f>
        <v>0.690</v>
      </c>
      <c r="T56" s="1" t="str">
        <f>"0.852"</f>
        <v>0.852</v>
      </c>
      <c r="U56" s="1" t="str">
        <f>"0.737"</f>
        <v>0.737</v>
      </c>
      <c r="V56" s="1" t="str">
        <f>"0.389*"</f>
        <v>0.389*</v>
      </c>
      <c r="W56" s="1" t="str">
        <f>"0.395*"</f>
        <v>0.395*</v>
      </c>
      <c r="X56" s="1" t="str">
        <f>"2.188*"</f>
        <v>2.188*</v>
      </c>
      <c r="Y56" s="1" t="str">
        <f>"2.294**"</f>
        <v>2.294**</v>
      </c>
      <c r="Z56" s="1" t="str">
        <f>"2.187"</f>
        <v>2.187</v>
      </c>
      <c r="AA56" s="1" t="str">
        <f>"2.227"</f>
        <v>2.227</v>
      </c>
      <c r="AB56" s="1" t="str">
        <f>"2.403**"</f>
        <v>2.403**</v>
      </c>
      <c r="AC56" s="1" t="str">
        <f>"2.180*"</f>
        <v>2.180*</v>
      </c>
      <c r="AD56" s="1" t="str">
        <f>"1.916"</f>
        <v>1.916</v>
      </c>
      <c r="AE56" s="1" t="str">
        <f>"1.709"</f>
        <v>1.709</v>
      </c>
      <c r="AF56" s="1" t="str">
        <f>"0.202*"</f>
        <v>0.202*</v>
      </c>
      <c r="AG56" s="1" t="str">
        <f>"0.205*"</f>
        <v>0.205*</v>
      </c>
      <c r="AH56" s="1" t="str">
        <f>"2.881"</f>
        <v>2.881</v>
      </c>
      <c r="AI56" s="1" t="str">
        <f>"2.840"</f>
        <v>2.840</v>
      </c>
      <c r="AJ56" s="1" t="str">
        <f>"0.512"</f>
        <v>0.512</v>
      </c>
      <c r="AK56" s="1" t="str">
        <f>"0.510"</f>
        <v>0.510</v>
      </c>
      <c r="AL56" s="1" t="str">
        <f>"0.482*"</f>
        <v>0.482*</v>
      </c>
      <c r="AM56" s="1" t="str">
        <f>"0.492*"</f>
        <v>0.492*</v>
      </c>
      <c r="AN56" s="1" t="str">
        <f>"5.003"</f>
        <v>5.003</v>
      </c>
      <c r="AO56" s="1" t="str">
        <f>"4.983"</f>
        <v>4.983</v>
      </c>
      <c r="AP56" s="1" t="str">
        <f>"1.598"</f>
        <v>1.598</v>
      </c>
      <c r="AQ56" s="1" t="str">
        <f>"1.649"</f>
        <v>1.649</v>
      </c>
      <c r="AR56" s="1" t="str">
        <f>"0.211"</f>
        <v>0.211</v>
      </c>
      <c r="AS56" s="1" t="str">
        <f>"0.209"</f>
        <v>0.209</v>
      </c>
      <c r="AT56" s="1" t="str">
        <f>"0.926"</f>
        <v>0.926</v>
      </c>
      <c r="AU56" s="1" t="str">
        <f>"0.739"</f>
        <v>0.739</v>
      </c>
      <c r="AV56" s="1" t="str">
        <f>"0.579"</f>
        <v>0.579</v>
      </c>
      <c r="AW56" s="1" t="str">
        <f>"0.561"</f>
        <v>0.561</v>
      </c>
      <c r="AX56" s="1" t="str">
        <f>"1.615"</f>
        <v>1.615</v>
      </c>
      <c r="AY56" s="1" t="str">
        <f>"1.385"</f>
        <v>1.385</v>
      </c>
      <c r="AZ56" s="1" t="str">
        <f>"3.756"</f>
        <v>3.756</v>
      </c>
      <c r="BA56" s="1" t="str">
        <f>"3.677"</f>
        <v>3.677</v>
      </c>
    </row>
    <row r="57" spans="1:53" x14ac:dyDescent="0.25">
      <c r="A57" s="1" t="str">
        <f>""</f>
        <v/>
      </c>
      <c r="B57" s="1" t="str">
        <f>"(0.520)"</f>
        <v>(0.520)</v>
      </c>
      <c r="C57" s="1" t="str">
        <f>"(0.486)"</f>
        <v>(0.486)</v>
      </c>
      <c r="D57" s="1" t="str">
        <f>"(0.399)"</f>
        <v>(0.399)</v>
      </c>
      <c r="E57" s="1" t="str">
        <f>"(0.401)"</f>
        <v>(0.401)</v>
      </c>
      <c r="F57" s="1" t="str">
        <f>"(0.716)"</f>
        <v>(0.716)</v>
      </c>
      <c r="G57" s="1" t="str">
        <f>"(0.725)"</f>
        <v>(0.725)</v>
      </c>
      <c r="H57" s="1" t="str">
        <f>"(0.589)"</f>
        <v>(0.589)</v>
      </c>
      <c r="I57" s="1" t="str">
        <f>"(0.570)"</f>
        <v>(0.570)</v>
      </c>
      <c r="J57" s="1" t="str">
        <f>"(1.917)"</f>
        <v>(1.917)</v>
      </c>
      <c r="K57" s="1" t="str">
        <f>"(1.813)"</f>
        <v>(1.813)</v>
      </c>
      <c r="L57" s="1" t="str">
        <f>"(0.614)"</f>
        <v>(0.614)</v>
      </c>
      <c r="M57" s="1" t="str">
        <f>"(0.613)"</f>
        <v>(0.613)</v>
      </c>
      <c r="N57" s="1" t="str">
        <f>"(0.880)"</f>
        <v>(0.880)</v>
      </c>
      <c r="O57" s="1" t="str">
        <f>"(0.879)"</f>
        <v>(0.879)</v>
      </c>
      <c r="P57" s="1" t="str">
        <f>"(0.472)"</f>
        <v>(0.472)</v>
      </c>
      <c r="Q57" s="1" t="str">
        <f>"(0.446)"</f>
        <v>(0.446)</v>
      </c>
      <c r="R57" s="1" t="str">
        <f>"(0.273)"</f>
        <v>(0.273)</v>
      </c>
      <c r="S57" s="1" t="str">
        <f>"(0.262)"</f>
        <v>(0.262)</v>
      </c>
      <c r="T57" s="1" t="str">
        <f>"(0.372)"</f>
        <v>(0.372)</v>
      </c>
      <c r="U57" s="1" t="str">
        <f>"(0.339)"</f>
        <v>(0.339)</v>
      </c>
      <c r="V57" s="1" t="str">
        <f>"(0.147)"</f>
        <v>(0.147)</v>
      </c>
      <c r="W57" s="1" t="str">
        <f>"(0.149)"</f>
        <v>(0.149)</v>
      </c>
      <c r="X57" s="1" t="str">
        <f>"(0.714)"</f>
        <v>(0.714)</v>
      </c>
      <c r="Y57" s="1" t="str">
        <f>"(0.737)"</f>
        <v>(0.737)</v>
      </c>
      <c r="Z57" s="1" t="str">
        <f>"(0.966)"</f>
        <v>(0.966)</v>
      </c>
      <c r="AA57" s="1" t="str">
        <f>"(0.998)"</f>
        <v>(0.998)</v>
      </c>
      <c r="AB57" s="1" t="str">
        <f>"(0.807)"</f>
        <v>(0.807)</v>
      </c>
      <c r="AC57" s="1" t="str">
        <f>"(0.735)"</f>
        <v>(0.735)</v>
      </c>
      <c r="AD57" s="1" t="str">
        <f>"(0.669)"</f>
        <v>(0.669)</v>
      </c>
      <c r="AE57" s="1" t="str">
        <f>"(0.606)"</f>
        <v>(0.606)</v>
      </c>
      <c r="AF57" s="1" t="str">
        <f>"(0.147)"</f>
        <v>(0.147)</v>
      </c>
      <c r="AG57" s="1" t="str">
        <f>"(0.147)"</f>
        <v>(0.147)</v>
      </c>
      <c r="AH57" s="1" t="str">
        <f>"(2.294)"</f>
        <v>(2.294)</v>
      </c>
      <c r="AI57" s="1" t="str">
        <f>"(2.240)"</f>
        <v>(2.240)</v>
      </c>
      <c r="AJ57" s="1" t="str">
        <f>"(0.179)"</f>
        <v>(0.179)</v>
      </c>
      <c r="AK57" s="1" t="str">
        <f>"(0.177)"</f>
        <v>(0.177)</v>
      </c>
      <c r="AL57" s="1" t="str">
        <f>"(0.164)"</f>
        <v>(0.164)</v>
      </c>
      <c r="AM57" s="1" t="str">
        <f>"(0.169)"</f>
        <v>(0.169)</v>
      </c>
      <c r="AN57" s="1" t="str">
        <f>"(4.437)"</f>
        <v>(4.437)</v>
      </c>
      <c r="AO57" s="1" t="str">
        <f>"(4.430)"</f>
        <v>(4.430)</v>
      </c>
      <c r="AP57" s="1" t="str">
        <f>"(1.055)"</f>
        <v>(1.055)</v>
      </c>
      <c r="AQ57" s="1" t="str">
        <f>"(1.098)"</f>
        <v>(1.098)</v>
      </c>
      <c r="AR57" s="1" t="str">
        <f>"(0.224)"</f>
        <v>(0.224)</v>
      </c>
      <c r="AS57" s="1" t="str">
        <f>"(0.220)"</f>
        <v>(0.220)</v>
      </c>
      <c r="AT57" s="1" t="str">
        <f>"(0.503)"</f>
        <v>(0.503)</v>
      </c>
      <c r="AU57" s="1" t="str">
        <f>"(0.391)"</f>
        <v>(0.391)</v>
      </c>
      <c r="AV57" s="1" t="str">
        <f>"(0.415)"</f>
        <v>(0.415)</v>
      </c>
      <c r="AW57" s="1" t="str">
        <f>"(0.406)"</f>
        <v>(0.406)</v>
      </c>
      <c r="AX57" s="1" t="str">
        <f>"(1.530)"</f>
        <v>(1.530)</v>
      </c>
      <c r="AY57" s="1" t="str">
        <f>"(1.219)"</f>
        <v>(1.219)</v>
      </c>
      <c r="AZ57" s="1" t="str">
        <f>"(2.817)"</f>
        <v>(2.817)</v>
      </c>
      <c r="BA57" s="1" t="str">
        <f>"(2.692)"</f>
        <v>(2.692)</v>
      </c>
    </row>
    <row r="58" spans="1:53" x14ac:dyDescent="0.25">
      <c r="A58" s="1" t="str">
        <f>"age_group==    14.0000"</f>
        <v>age_group==    14.0000</v>
      </c>
      <c r="B58" s="1" t="str">
        <f>"0.822"</f>
        <v>0.822</v>
      </c>
      <c r="C58" s="1" t="str">
        <f>"0.872"</f>
        <v>0.872</v>
      </c>
      <c r="D58" s="1" t="str">
        <f>"1.605"</f>
        <v>1.605</v>
      </c>
      <c r="E58" s="1" t="str">
        <f>"1.579"</f>
        <v>1.579</v>
      </c>
      <c r="F58" s="1" t="str">
        <f>"0.991"</f>
        <v>0.991</v>
      </c>
      <c r="G58" s="1" t="str">
        <f>"1.015"</f>
        <v>1.015</v>
      </c>
      <c r="H58" s="1" t="str">
        <f>"0.606"</f>
        <v>0.606</v>
      </c>
      <c r="I58" s="1" t="str">
        <f>"0.625"</f>
        <v>0.625</v>
      </c>
      <c r="J58" s="1" t="str">
        <f>"1.163"</f>
        <v>1.163</v>
      </c>
      <c r="K58" s="1" t="str">
        <f>"1.112"</f>
        <v>1.112</v>
      </c>
      <c r="L58" s="1" t="str">
        <f>"0.519"</f>
        <v>0.519</v>
      </c>
      <c r="M58" s="1" t="str">
        <f>"0.621"</f>
        <v>0.621</v>
      </c>
      <c r="N58" s="1" t="str">
        <f>"3.178*"</f>
        <v>3.178*</v>
      </c>
      <c r="O58" s="1" t="str">
        <f>"3.196*"</f>
        <v>3.196*</v>
      </c>
      <c r="P58" s="1" t="str">
        <f>"0.179*"</f>
        <v>0.179*</v>
      </c>
      <c r="Q58" s="1" t="str">
        <f>"0.173*"</f>
        <v>0.173*</v>
      </c>
      <c r="R58" s="1" t="str">
        <f>"0.616"</f>
        <v>0.616</v>
      </c>
      <c r="S58" s="1" t="str">
        <f>"0.628"</f>
        <v>0.628</v>
      </c>
      <c r="T58" s="1" t="str">
        <f>"0.742"</f>
        <v>0.742</v>
      </c>
      <c r="U58" s="1" t="str">
        <f>"0.720"</f>
        <v>0.720</v>
      </c>
      <c r="V58" s="1" t="str">
        <f>"0.889"</f>
        <v>0.889</v>
      </c>
      <c r="W58" s="1" t="str">
        <f>"0.889"</f>
        <v>0.889</v>
      </c>
      <c r="X58" s="1" t="str">
        <f>"1.454"</f>
        <v>1.454</v>
      </c>
      <c r="Y58" s="1" t="str">
        <f>"1.473"</f>
        <v>1.473</v>
      </c>
      <c r="Z58" s="1" t="str">
        <f>"1.534"</f>
        <v>1.534</v>
      </c>
      <c r="AA58" s="1" t="str">
        <f>"1.552"</f>
        <v>1.552</v>
      </c>
      <c r="AB58" s="1" t="str">
        <f>"1.151"</f>
        <v>1.151</v>
      </c>
      <c r="AC58" s="1" t="str">
        <f>"1.130"</f>
        <v>1.130</v>
      </c>
      <c r="AD58" s="1" t="str">
        <f>"1.083"</f>
        <v>1.083</v>
      </c>
      <c r="AE58" s="1" t="str">
        <f>"1.047"</f>
        <v>1.047</v>
      </c>
      <c r="AF58" s="1" t="str">
        <f>"0.947"</f>
        <v>0.947</v>
      </c>
      <c r="AG58" s="1" t="str">
        <f>"0.952"</f>
        <v>0.952</v>
      </c>
      <c r="AH58" s="1" t="str">
        <f>"3.133"</f>
        <v>3.133</v>
      </c>
      <c r="AI58" s="1" t="str">
        <f>"3.160"</f>
        <v>3.160</v>
      </c>
      <c r="AJ58" s="1" t="str">
        <f>"0.640"</f>
        <v>0.640</v>
      </c>
      <c r="AK58" s="1" t="str">
        <f>"0.640"</f>
        <v>0.640</v>
      </c>
      <c r="AL58" s="1" t="str">
        <f>"0.394**"</f>
        <v>0.394**</v>
      </c>
      <c r="AM58" s="1" t="str">
        <f>"0.393**"</f>
        <v>0.393**</v>
      </c>
      <c r="AN58" s="1" t="str">
        <f>"6.341*"</f>
        <v>6.341*</v>
      </c>
      <c r="AO58" s="1" t="str">
        <f>"6.344*"</f>
        <v>6.344*</v>
      </c>
      <c r="AP58" s="1" t="str">
        <f>"2.331"</f>
        <v>2.331</v>
      </c>
      <c r="AQ58" s="1" t="str">
        <f>"2.478"</f>
        <v>2.478</v>
      </c>
      <c r="AR58" s="1" t="str">
        <f>"0.133"</f>
        <v>0.133</v>
      </c>
      <c r="AS58" s="1" t="str">
        <f>"0.133"</f>
        <v>0.133</v>
      </c>
      <c r="AT58" s="1" t="str">
        <f>"1.955"</f>
        <v>1.955</v>
      </c>
      <c r="AU58" s="1" t="str">
        <f>"1.647"</f>
        <v>1.647</v>
      </c>
      <c r="AV58" s="1" t="str">
        <f>"0.354"</f>
        <v>0.354</v>
      </c>
      <c r="AW58" s="1" t="str">
        <f>"0.346"</f>
        <v>0.346</v>
      </c>
      <c r="AX58" s="1" t="str">
        <f>"1.492"</f>
        <v>1.492</v>
      </c>
      <c r="AY58" s="1" t="str">
        <f>"1.309"</f>
        <v>1.309</v>
      </c>
      <c r="AZ58" s="1" t="str">
        <f>"1.551"</f>
        <v>1.551</v>
      </c>
      <c r="BA58" s="1" t="str">
        <f>"1.520"</f>
        <v>1.520</v>
      </c>
    </row>
    <row r="59" spans="1:53" x14ac:dyDescent="0.25">
      <c r="A59" s="1" t="str">
        <f>""</f>
        <v/>
      </c>
      <c r="B59" s="1" t="str">
        <f>"(0.421)"</f>
        <v>(0.421)</v>
      </c>
      <c r="C59" s="1" t="str">
        <f>"(0.468)"</f>
        <v>(0.468)</v>
      </c>
      <c r="D59" s="1" t="str">
        <f>"(0.916)"</f>
        <v>(0.916)</v>
      </c>
      <c r="E59" s="1" t="str">
        <f>"(0.893)"</f>
        <v>(0.893)</v>
      </c>
      <c r="F59" s="1" t="str">
        <f>"(0.450)"</f>
        <v>(0.450)</v>
      </c>
      <c r="G59" s="1" t="str">
        <f>"(0.461)"</f>
        <v>(0.461)</v>
      </c>
      <c r="H59" s="1" t="str">
        <f>"(0.245)"</f>
        <v>(0.245)</v>
      </c>
      <c r="I59" s="1" t="str">
        <f>"(0.250)"</f>
        <v>(0.250)</v>
      </c>
      <c r="J59" s="1" t="str">
        <f>"(0.823)"</f>
        <v>(0.823)</v>
      </c>
      <c r="K59" s="1" t="str">
        <f>"(0.725)"</f>
        <v>(0.725)</v>
      </c>
      <c r="L59" s="1" t="str">
        <f>"(0.440)"</f>
        <v>(0.440)</v>
      </c>
      <c r="M59" s="1" t="str">
        <f>"(0.549)"</f>
        <v>(0.549)</v>
      </c>
      <c r="N59" s="1" t="str">
        <f>"(1.535)"</f>
        <v>(1.535)</v>
      </c>
      <c r="O59" s="1" t="str">
        <f>"(1.568)"</f>
        <v>(1.568)</v>
      </c>
      <c r="P59" s="1" t="str">
        <f>"(0.147)"</f>
        <v>(0.147)</v>
      </c>
      <c r="Q59" s="1" t="str">
        <f>"(0.144)"</f>
        <v>(0.144)</v>
      </c>
      <c r="R59" s="1" t="str">
        <f>"(0.228)"</f>
        <v>(0.228)</v>
      </c>
      <c r="S59" s="1" t="str">
        <f>"(0.224)"</f>
        <v>(0.224)</v>
      </c>
      <c r="T59" s="1" t="str">
        <f>"(0.282)"</f>
        <v>(0.282)</v>
      </c>
      <c r="U59" s="1" t="str">
        <f>"(0.321)"</f>
        <v>(0.321)</v>
      </c>
      <c r="V59" s="1" t="str">
        <f>"(0.339)"</f>
        <v>(0.339)</v>
      </c>
      <c r="W59" s="1" t="str">
        <f>"(0.339)"</f>
        <v>(0.339)</v>
      </c>
      <c r="X59" s="1" t="str">
        <f>"(0.488)"</f>
        <v>(0.488)</v>
      </c>
      <c r="Y59" s="1" t="str">
        <f>"(0.480)"</f>
        <v>(0.480)</v>
      </c>
      <c r="Z59" s="1" t="str">
        <f>"(0.594)"</f>
        <v>(0.594)</v>
      </c>
      <c r="AA59" s="1" t="str">
        <f>"(0.605)"</f>
        <v>(0.605)</v>
      </c>
      <c r="AB59" s="1" t="str">
        <f>"(0.365)"</f>
        <v>(0.365)</v>
      </c>
      <c r="AC59" s="1" t="str">
        <f>"(0.373)"</f>
        <v>(0.373)</v>
      </c>
      <c r="AD59" s="1" t="str">
        <f>"(0.361)"</f>
        <v>(0.361)</v>
      </c>
      <c r="AE59" s="1" t="str">
        <f>"(0.361)"</f>
        <v>(0.361)</v>
      </c>
      <c r="AF59" s="1" t="str">
        <f>"(0.581)"</f>
        <v>(0.581)</v>
      </c>
      <c r="AG59" s="1" t="str">
        <f>"(0.578)"</f>
        <v>(0.578)</v>
      </c>
      <c r="AH59" s="1" t="str">
        <f>"(2.396)"</f>
        <v>(2.396)</v>
      </c>
      <c r="AI59" s="1" t="str">
        <f>"(2.364)"</f>
        <v>(2.364)</v>
      </c>
      <c r="AJ59" s="1" t="str">
        <f>"(0.223)"</f>
        <v>(0.223)</v>
      </c>
      <c r="AK59" s="1" t="str">
        <f>"(0.219)"</f>
        <v>(0.219)</v>
      </c>
      <c r="AL59" s="1" t="str">
        <f>"(0.123)"</f>
        <v>(0.123)</v>
      </c>
      <c r="AM59" s="1" t="str">
        <f>"(0.125)"</f>
        <v>(0.125)</v>
      </c>
      <c r="AN59" s="1" t="str">
        <f>"(5.219)"</f>
        <v>(5.219)</v>
      </c>
      <c r="AO59" s="1" t="str">
        <f>"(5.265)"</f>
        <v>(5.265)</v>
      </c>
      <c r="AP59" s="1" t="str">
        <f>"(1.410)"</f>
        <v>(1.410)</v>
      </c>
      <c r="AQ59" s="1" t="str">
        <f>"(1.485)"</f>
        <v>(1.485)</v>
      </c>
      <c r="AR59" s="1" t="str">
        <f>"(0.144)"</f>
        <v>(0.144)</v>
      </c>
      <c r="AS59" s="1" t="str">
        <f>"(0.143)"</f>
        <v>(0.143)</v>
      </c>
      <c r="AT59" s="1" t="str">
        <f>"(1.053)"</f>
        <v>(1.053)</v>
      </c>
      <c r="AU59" s="1" t="str">
        <f>"(0.866)"</f>
        <v>(0.866)</v>
      </c>
      <c r="AV59" s="1" t="str">
        <f>"(0.243)"</f>
        <v>(0.243)</v>
      </c>
      <c r="AW59" s="1" t="str">
        <f>"(0.241)"</f>
        <v>(0.241)</v>
      </c>
      <c r="AX59" s="1" t="str">
        <f>"(1.335)"</f>
        <v>(1.335)</v>
      </c>
      <c r="AY59" s="1" t="str">
        <f>"(1.092)"</f>
        <v>(1.092)</v>
      </c>
      <c r="AZ59" s="1" t="str">
        <f>"(1.315)"</f>
        <v>(1.315)</v>
      </c>
      <c r="BA59" s="1" t="str">
        <f>"(1.279)"</f>
        <v>(1.279)</v>
      </c>
    </row>
    <row r="60" spans="1:53" x14ac:dyDescent="0.25">
      <c r="A60" s="1" t="str">
        <f>"age_group==    15.0000"</f>
        <v>age_group==    15.0000</v>
      </c>
      <c r="B60" s="1" t="str">
        <f>"0.630"</f>
        <v>0.630</v>
      </c>
      <c r="C60" s="1" t="str">
        <f>"0.648"</f>
        <v>0.648</v>
      </c>
      <c r="D60" s="1" t="str">
        <f>"0.759"</f>
        <v>0.759</v>
      </c>
      <c r="E60" s="1" t="str">
        <f>"0.754"</f>
        <v>0.754</v>
      </c>
      <c r="F60" s="1" t="str">
        <f>"1.493"</f>
        <v>1.493</v>
      </c>
      <c r="G60" s="1" t="str">
        <f>"1.569"</f>
        <v>1.569</v>
      </c>
      <c r="H60" s="1" t="str">
        <f>"0.992"</f>
        <v>0.992</v>
      </c>
      <c r="I60" s="1" t="str">
        <f>"1.040"</f>
        <v>1.040</v>
      </c>
      <c r="J60" s="1" t="str">
        <f>"2.324"</f>
        <v>2.324</v>
      </c>
      <c r="K60" s="1" t="str">
        <f>"2.166"</f>
        <v>2.166</v>
      </c>
      <c r="L60" s="1" t="str">
        <f>"0.301"</f>
        <v>0.301</v>
      </c>
      <c r="M60" s="1" t="str">
        <f>"0.315"</f>
        <v>0.315</v>
      </c>
      <c r="N60" s="1" t="str">
        <f>"1.313"</f>
        <v>1.313</v>
      </c>
      <c r="O60" s="1" t="str">
        <f>"1.344"</f>
        <v>1.344</v>
      </c>
      <c r="P60" s="1" t="str">
        <f>"0.510"</f>
        <v>0.510</v>
      </c>
      <c r="Q60" s="1" t="str">
        <f>"0.456"</f>
        <v>0.456</v>
      </c>
      <c r="R60" s="1" t="str">
        <f>"0.803"</f>
        <v>0.803</v>
      </c>
      <c r="S60" s="1" t="str">
        <f>"0.832"</f>
        <v>0.832</v>
      </c>
      <c r="T60" s="1" t="str">
        <f>"0.912"</f>
        <v>0.912</v>
      </c>
      <c r="U60" s="1" t="str">
        <f>"0.818"</f>
        <v>0.818</v>
      </c>
      <c r="V60" s="1" t="str">
        <f>"0.610"</f>
        <v>0.610</v>
      </c>
      <c r="W60" s="1" t="str">
        <f>"0.613"</f>
        <v>0.613</v>
      </c>
      <c r="X60" s="1" t="str">
        <f>"1.516"</f>
        <v>1.516</v>
      </c>
      <c r="Y60" s="1" t="str">
        <f>"1.589"</f>
        <v>1.589</v>
      </c>
      <c r="Z60" s="1" t="str">
        <f>"1.429"</f>
        <v>1.429</v>
      </c>
      <c r="AA60" s="1" t="str">
        <f>"1.477"</f>
        <v>1.477</v>
      </c>
      <c r="AB60" s="1" t="str">
        <f>"1.474"</f>
        <v>1.474</v>
      </c>
      <c r="AC60" s="1" t="str">
        <f>"1.449"</f>
        <v>1.449</v>
      </c>
      <c r="AD60" s="1" t="str">
        <f>"1.081"</f>
        <v>1.081</v>
      </c>
      <c r="AE60" s="1" t="str">
        <f>"0.994"</f>
        <v>0.994</v>
      </c>
      <c r="AF60" s="1" t="str">
        <f>"0.640"</f>
        <v>0.640</v>
      </c>
      <c r="AG60" s="1" t="str">
        <f>"0.654"</f>
        <v>0.654</v>
      </c>
      <c r="AH60" s="1" t="str">
        <f>"2.163"</f>
        <v>2.163</v>
      </c>
      <c r="AI60" s="1" t="str">
        <f>"2.134"</f>
        <v>2.134</v>
      </c>
      <c r="AJ60" s="1" t="str">
        <f>"0.571"</f>
        <v>0.571</v>
      </c>
      <c r="AK60" s="1" t="str">
        <f>"0.576"</f>
        <v>0.576</v>
      </c>
      <c r="AL60" s="1" t="str">
        <f>"0.662"</f>
        <v>0.662</v>
      </c>
      <c r="AM60" s="1" t="str">
        <f>"0.663"</f>
        <v>0.663</v>
      </c>
      <c r="AN60" s="1" t="str">
        <f>"4.480"</f>
        <v>4.480</v>
      </c>
      <c r="AO60" s="1" t="str">
        <f>"4.642"</f>
        <v>4.642</v>
      </c>
      <c r="AP60" s="1" t="str">
        <f>"2.203"</f>
        <v>2.203</v>
      </c>
      <c r="AQ60" s="1" t="str">
        <f>"2.268"</f>
        <v>2.268</v>
      </c>
      <c r="AR60" s="1" t="str">
        <f>"0.153"</f>
        <v>0.153</v>
      </c>
      <c r="AS60" s="1" t="str">
        <f>"0.154"</f>
        <v>0.154</v>
      </c>
      <c r="AT60" s="1" t="str">
        <f>"1.918"</f>
        <v>1.918</v>
      </c>
      <c r="AU60" s="1" t="str">
        <f>"1.625"</f>
        <v>1.625</v>
      </c>
      <c r="AV60" s="1" t="str">
        <f>"0.282"</f>
        <v>0.282</v>
      </c>
      <c r="AW60" s="1" t="str">
        <f>"0.278"</f>
        <v>0.278</v>
      </c>
      <c r="AX60" s="1" t="str">
        <f>"0.905"</f>
        <v>0.905</v>
      </c>
      <c r="AY60" s="1" t="str">
        <f>"0.766"</f>
        <v>0.766</v>
      </c>
      <c r="AZ60" s="1" t="str">
        <f>"1.101"</f>
        <v>1.101</v>
      </c>
      <c r="BA60" s="1" t="str">
        <f>"1.062"</f>
        <v>1.062</v>
      </c>
    </row>
    <row r="61" spans="1:53" x14ac:dyDescent="0.25">
      <c r="A61" s="1" t="str">
        <f>""</f>
        <v/>
      </c>
      <c r="B61" s="1" t="str">
        <f>"(0.284)"</f>
        <v>(0.284)</v>
      </c>
      <c r="C61" s="1" t="str">
        <f>"(0.299)"</f>
        <v>(0.299)</v>
      </c>
      <c r="D61" s="1" t="str">
        <f>"(0.341)"</f>
        <v>(0.341)</v>
      </c>
      <c r="E61" s="1" t="str">
        <f>"(0.344)"</f>
        <v>(0.344)</v>
      </c>
      <c r="F61" s="1" t="str">
        <f>"(0.753)"</f>
        <v>(0.753)</v>
      </c>
      <c r="G61" s="1" t="str">
        <f>"(0.793)"</f>
        <v>(0.793)</v>
      </c>
      <c r="H61" s="1" t="str">
        <f>"(0.389)"</f>
        <v>(0.389)</v>
      </c>
      <c r="I61" s="1" t="str">
        <f>"(0.400)"</f>
        <v>(0.400)</v>
      </c>
      <c r="J61" s="1" t="str">
        <f>"(1.491)"</f>
        <v>(1.491)</v>
      </c>
      <c r="K61" s="1" t="str">
        <f>"(1.301)"</f>
        <v>(1.301)</v>
      </c>
      <c r="L61" s="1" t="str">
        <f>"(0.240)"</f>
        <v>(0.240)</v>
      </c>
      <c r="M61" s="1" t="str">
        <f>"(0.264)"</f>
        <v>(0.264)</v>
      </c>
      <c r="N61" s="1" t="str">
        <f>"(0.604)"</f>
        <v>(0.604)</v>
      </c>
      <c r="O61" s="1" t="str">
        <f>"(0.619)"</f>
        <v>(0.619)</v>
      </c>
      <c r="P61" s="1" t="str">
        <f>"(0.474)"</f>
        <v>(0.474)</v>
      </c>
      <c r="Q61" s="1" t="str">
        <f>"(0.430)"</f>
        <v>(0.430)</v>
      </c>
      <c r="R61" s="1" t="str">
        <f>"(0.312)"</f>
        <v>(0.312)</v>
      </c>
      <c r="S61" s="1" t="str">
        <f>"(0.320)"</f>
        <v>(0.320)</v>
      </c>
      <c r="T61" s="1" t="str">
        <f>"(0.328)"</f>
        <v>(0.328)</v>
      </c>
      <c r="U61" s="1" t="str">
        <f>"(0.341)"</f>
        <v>(0.341)</v>
      </c>
      <c r="V61" s="1" t="str">
        <f>"(0.208)"</f>
        <v>(0.208)</v>
      </c>
      <c r="W61" s="1" t="str">
        <f>"(0.210)"</f>
        <v>(0.210)</v>
      </c>
      <c r="X61" s="1" t="str">
        <f>"(0.484)"</f>
        <v>(0.484)</v>
      </c>
      <c r="Y61" s="1" t="str">
        <f>"(0.501)"</f>
        <v>(0.501)</v>
      </c>
      <c r="Z61" s="1" t="str">
        <f>"(0.535)"</f>
        <v>(0.535)</v>
      </c>
      <c r="AA61" s="1" t="str">
        <f>"(0.559)"</f>
        <v>(0.559)</v>
      </c>
      <c r="AB61" s="1" t="str">
        <f>"(0.484)"</f>
        <v>(0.484)</v>
      </c>
      <c r="AC61" s="1" t="str">
        <f>"(0.488)"</f>
        <v>(0.488)</v>
      </c>
      <c r="AD61" s="1" t="str">
        <f>"(0.350)"</f>
        <v>(0.350)</v>
      </c>
      <c r="AE61" s="1" t="str">
        <f>"(0.335)"</f>
        <v>(0.335)</v>
      </c>
      <c r="AF61" s="1" t="str">
        <f>"(0.348)"</f>
        <v>(0.348)</v>
      </c>
      <c r="AG61" s="1" t="str">
        <f>"(0.350)"</f>
        <v>(0.350)</v>
      </c>
      <c r="AH61" s="1" t="str">
        <f>"(1.670)"</f>
        <v>(1.670)</v>
      </c>
      <c r="AI61" s="1" t="str">
        <f>"(1.605)"</f>
        <v>(1.605)</v>
      </c>
      <c r="AJ61" s="1" t="str">
        <f>"(0.219)"</f>
        <v>(0.219)</v>
      </c>
      <c r="AK61" s="1" t="str">
        <f>"(0.220)"</f>
        <v>(0.220)</v>
      </c>
      <c r="AL61" s="1" t="str">
        <f>"(0.200)"</f>
        <v>(0.200)</v>
      </c>
      <c r="AM61" s="1" t="str">
        <f>"(0.204)"</f>
        <v>(0.204)</v>
      </c>
      <c r="AN61" s="1" t="str">
        <f>"(3.647)"</f>
        <v>(3.647)</v>
      </c>
      <c r="AO61" s="1" t="str">
        <f>"(3.755)"</f>
        <v>(3.755)</v>
      </c>
      <c r="AP61" s="1" t="str">
        <f>"(1.258)"</f>
        <v>(1.258)</v>
      </c>
      <c r="AQ61" s="1" t="str">
        <f>"(1.285)"</f>
        <v>(1.285)</v>
      </c>
      <c r="AR61" s="1" t="str">
        <f>"(0.157)"</f>
        <v>(0.157)</v>
      </c>
      <c r="AS61" s="1" t="str">
        <f>"(0.158)"</f>
        <v>(0.158)</v>
      </c>
      <c r="AT61" s="1" t="str">
        <f>"(1.049)"</f>
        <v>(1.049)</v>
      </c>
      <c r="AU61" s="1" t="str">
        <f>"(0.870)"</f>
        <v>(0.870)</v>
      </c>
      <c r="AV61" s="1" t="str">
        <f>"(0.183)"</f>
        <v>(0.183)</v>
      </c>
      <c r="AW61" s="1" t="str">
        <f>"(0.187)"</f>
        <v>(0.187)</v>
      </c>
      <c r="AX61" s="1" t="str">
        <f>"(0.853)"</f>
        <v>(0.853)</v>
      </c>
      <c r="AY61" s="1" t="str">
        <f>"(0.684)"</f>
        <v>(0.684)</v>
      </c>
      <c r="AZ61" s="1" t="str">
        <f>"(0.889)"</f>
        <v>(0.889)</v>
      </c>
      <c r="BA61" s="1" t="str">
        <f>"(0.840)"</f>
        <v>(0.840)</v>
      </c>
    </row>
    <row r="62" spans="1:53" x14ac:dyDescent="0.25">
      <c r="A62" s="1" t="str">
        <f>"age_group==    16.0000"</f>
        <v>age_group==    16.0000</v>
      </c>
      <c r="B62" s="1" t="str">
        <f>"0.498"</f>
        <v>0.498</v>
      </c>
      <c r="C62" s="1" t="str">
        <f>"0.496"</f>
        <v>0.496</v>
      </c>
      <c r="D62" s="1" t="str">
        <f>"0.486"</f>
        <v>0.486</v>
      </c>
      <c r="E62" s="1" t="str">
        <f>"0.489"</f>
        <v>0.489</v>
      </c>
      <c r="F62" s="1" t="str">
        <f>"1.799"</f>
        <v>1.799</v>
      </c>
      <c r="G62" s="1" t="str">
        <f>"1.842"</f>
        <v>1.842</v>
      </c>
      <c r="H62" s="1" t="str">
        <f>"1.160"</f>
        <v>1.160</v>
      </c>
      <c r="I62" s="1" t="str">
        <f>"1.156"</f>
        <v>1.156</v>
      </c>
      <c r="J62" s="1" t="str">
        <f>"2.510"</f>
        <v>2.510</v>
      </c>
      <c r="K62" s="1" t="str">
        <f>"2.515"</f>
        <v>2.515</v>
      </c>
      <c r="L62" s="1" t="str">
        <f>"0.481"</f>
        <v>0.481</v>
      </c>
      <c r="M62" s="1" t="str">
        <f>"0.478"</f>
        <v>0.478</v>
      </c>
      <c r="N62" s="1" t="str">
        <f>"2.115"</f>
        <v>2.115</v>
      </c>
      <c r="O62" s="1" t="str">
        <f>"2.121"</f>
        <v>2.121</v>
      </c>
      <c r="P62" s="1" t="str">
        <f>"0.827"</f>
        <v>0.827</v>
      </c>
      <c r="Q62" s="1" t="str">
        <f>"0.608"</f>
        <v>0.608</v>
      </c>
      <c r="R62" s="1" t="str">
        <f>"0.592"</f>
        <v>0.592</v>
      </c>
      <c r="S62" s="1" t="str">
        <f>"0.588"</f>
        <v>0.588</v>
      </c>
      <c r="T62" s="1" t="str">
        <f>"1.135"</f>
        <v>1.135</v>
      </c>
      <c r="U62" s="1" t="str">
        <f>"1.045"</f>
        <v>1.045</v>
      </c>
      <c r="V62" s="1" t="str">
        <f>"0.471*"</f>
        <v>0.471*</v>
      </c>
      <c r="W62" s="1" t="str">
        <f>"0.474*"</f>
        <v>0.474*</v>
      </c>
      <c r="X62" s="1" t="str">
        <f>"1.048"</f>
        <v>1.048</v>
      </c>
      <c r="Y62" s="1" t="str">
        <f>"1.052"</f>
        <v>1.052</v>
      </c>
      <c r="Z62" s="1" t="str">
        <f>"1.234"</f>
        <v>1.234</v>
      </c>
      <c r="AA62" s="1" t="str">
        <f>"1.254"</f>
        <v>1.254</v>
      </c>
      <c r="AB62" s="1" t="str">
        <f>"1.374"</f>
        <v>1.374</v>
      </c>
      <c r="AC62" s="1" t="str">
        <f>"1.356"</f>
        <v>1.356</v>
      </c>
      <c r="AD62" s="1" t="str">
        <f>"0.864"</f>
        <v>0.864</v>
      </c>
      <c r="AE62" s="1" t="str">
        <f>"0.783"</f>
        <v>0.783</v>
      </c>
      <c r="AF62" s="1" t="str">
        <f>"0.829"</f>
        <v>0.829</v>
      </c>
      <c r="AG62" s="1" t="str">
        <f>"0.781"</f>
        <v>0.781</v>
      </c>
      <c r="AH62" s="1" t="str">
        <f>"2.821"</f>
        <v>2.821</v>
      </c>
      <c r="AI62" s="1" t="str">
        <f>"2.763"</f>
        <v>2.763</v>
      </c>
      <c r="AJ62" s="1" t="str">
        <f>"0.725"</f>
        <v>0.725</v>
      </c>
      <c r="AK62" s="1" t="str">
        <f>"0.742"</f>
        <v>0.742</v>
      </c>
      <c r="AL62" s="1" t="str">
        <f>"0.958"</f>
        <v>0.958</v>
      </c>
      <c r="AM62" s="1" t="str">
        <f>"0.926"</f>
        <v>0.926</v>
      </c>
      <c r="AN62" s="1" t="str">
        <f>"4.090"</f>
        <v>4.090</v>
      </c>
      <c r="AO62" s="1" t="str">
        <f>"4.244"</f>
        <v>4.244</v>
      </c>
      <c r="AP62" s="1" t="str">
        <f>"2.646"</f>
        <v>2.646</v>
      </c>
      <c r="AQ62" s="1" t="str">
        <f>"2.772"</f>
        <v>2.772</v>
      </c>
      <c r="AR62" s="1" t="str">
        <f>"0.969"</f>
        <v>0.969</v>
      </c>
      <c r="AS62" s="1" t="str">
        <f>"1.007"</f>
        <v>1.007</v>
      </c>
      <c r="AT62" s="1" t="str">
        <f>"1.340"</f>
        <v>1.340</v>
      </c>
      <c r="AU62" s="1" t="str">
        <f>"1.144"</f>
        <v>1.144</v>
      </c>
      <c r="AV62" s="1" t="str">
        <f>"0.244*"</f>
        <v>0.244*</v>
      </c>
      <c r="AW62" s="1" t="str">
        <f>"0.251*"</f>
        <v>0.251*</v>
      </c>
      <c r="AX62" s="1" t="str">
        <f>"1.223"</f>
        <v>1.223</v>
      </c>
      <c r="AY62" s="1" t="str">
        <f>"1.041"</f>
        <v>1.041</v>
      </c>
      <c r="AZ62" s="1" t="str">
        <f>"1.898"</f>
        <v>1.898</v>
      </c>
      <c r="BA62" s="1" t="str">
        <f>"1.834"</f>
        <v>1.834</v>
      </c>
    </row>
    <row r="63" spans="1:53" x14ac:dyDescent="0.25">
      <c r="A63" s="1" t="str">
        <f>""</f>
        <v/>
      </c>
      <c r="B63" s="1" t="str">
        <f>"(0.273)"</f>
        <v>(0.273)</v>
      </c>
      <c r="C63" s="1" t="str">
        <f>"(0.272)"</f>
        <v>(0.272)</v>
      </c>
      <c r="D63" s="1" t="str">
        <f>"(0.242)"</f>
        <v>(0.242)</v>
      </c>
      <c r="E63" s="1" t="str">
        <f>"(0.245)"</f>
        <v>(0.245)</v>
      </c>
      <c r="F63" s="1" t="str">
        <f>"(0.977)"</f>
        <v>(0.977)</v>
      </c>
      <c r="G63" s="1" t="str">
        <f>"(0.999)"</f>
        <v>(0.999)</v>
      </c>
      <c r="H63" s="1" t="str">
        <f>"(0.513)"</f>
        <v>(0.513)</v>
      </c>
      <c r="I63" s="1" t="str">
        <f>"(0.497)"</f>
        <v>(0.497)</v>
      </c>
      <c r="J63" s="1" t="str">
        <f>"(1.757)"</f>
        <v>(1.757)</v>
      </c>
      <c r="K63" s="1" t="str">
        <f>"(1.670)"</f>
        <v>(1.670)</v>
      </c>
      <c r="L63" s="1" t="str">
        <f>"(0.382)"</f>
        <v>(0.382)</v>
      </c>
      <c r="M63" s="1" t="str">
        <f>"(0.391)"</f>
        <v>(0.391)</v>
      </c>
      <c r="N63" s="1" t="str">
        <f>"(0.980)"</f>
        <v>(0.980)</v>
      </c>
      <c r="O63" s="1" t="str">
        <f>"(0.996)"</f>
        <v>(0.996)</v>
      </c>
      <c r="P63" s="1" t="str">
        <f>"(0.727)"</f>
        <v>(0.727)</v>
      </c>
      <c r="Q63" s="1" t="str">
        <f>"(0.550)"</f>
        <v>(0.550)</v>
      </c>
      <c r="R63" s="1" t="str">
        <f>"(0.242)"</f>
        <v>(0.242)</v>
      </c>
      <c r="S63" s="1" t="str">
        <f>"(0.240)"</f>
        <v>(0.240)</v>
      </c>
      <c r="T63" s="1" t="str">
        <f>"(0.406)"</f>
        <v>(0.406)</v>
      </c>
      <c r="U63" s="1" t="str">
        <f>"(0.457)"</f>
        <v>(0.457)</v>
      </c>
      <c r="V63" s="1" t="str">
        <f>"(0.171)"</f>
        <v>(0.171)</v>
      </c>
      <c r="W63" s="1" t="str">
        <f>"(0.172)"</f>
        <v>(0.172)</v>
      </c>
      <c r="X63" s="1" t="str">
        <f>"(0.367)"</f>
        <v>(0.367)</v>
      </c>
      <c r="Y63" s="1" t="str">
        <f>"(0.363)"</f>
        <v>(0.363)</v>
      </c>
      <c r="Z63" s="1" t="str">
        <f>"(0.522)"</f>
        <v>(0.522)</v>
      </c>
      <c r="AA63" s="1" t="str">
        <f>"(0.532)"</f>
        <v>(0.532)</v>
      </c>
      <c r="AB63" s="1" t="str">
        <f>"(0.416)"</f>
        <v>(0.416)</v>
      </c>
      <c r="AC63" s="1" t="str">
        <f>"(0.431)"</f>
        <v>(0.431)</v>
      </c>
      <c r="AD63" s="1" t="str">
        <f>"(0.321)"</f>
        <v>(0.321)</v>
      </c>
      <c r="AE63" s="1" t="str">
        <f>"(0.300)"</f>
        <v>(0.300)</v>
      </c>
      <c r="AF63" s="1" t="str">
        <f>"(0.515)"</f>
        <v>(0.515)</v>
      </c>
      <c r="AG63" s="1" t="str">
        <f>"(0.470)"</f>
        <v>(0.470)</v>
      </c>
      <c r="AH63" s="1" t="str">
        <f>"(2.404)"</f>
        <v>(2.404)</v>
      </c>
      <c r="AI63" s="1" t="str">
        <f>"(2.162)"</f>
        <v>(2.162)</v>
      </c>
      <c r="AJ63" s="1" t="str">
        <f>"(0.262)"</f>
        <v>(0.262)</v>
      </c>
      <c r="AK63" s="1" t="str">
        <f>"(0.274)"</f>
        <v>(0.274)</v>
      </c>
      <c r="AL63" s="1" t="str">
        <f>"(0.353)"</f>
        <v>(0.353)</v>
      </c>
      <c r="AM63" s="1" t="str">
        <f>"(0.343)"</f>
        <v>(0.343)</v>
      </c>
      <c r="AN63" s="1" t="str">
        <f>"(3.463)"</f>
        <v>(3.463)</v>
      </c>
      <c r="AO63" s="1" t="str">
        <f>"(3.571)"</f>
        <v>(3.571)</v>
      </c>
      <c r="AP63" s="1" t="str">
        <f>"(1.729)"</f>
        <v>(1.729)</v>
      </c>
      <c r="AQ63" s="1" t="str">
        <f>"(1.786)"</f>
        <v>(1.786)</v>
      </c>
      <c r="AR63" s="1" t="str">
        <f>"(0.993)"</f>
        <v>(0.993)</v>
      </c>
      <c r="AS63" s="1" t="str">
        <f>"(1.036)"</f>
        <v>(1.036)</v>
      </c>
      <c r="AT63" s="1" t="str">
        <f>"(0.744)"</f>
        <v>(0.744)</v>
      </c>
      <c r="AU63" s="1" t="str">
        <f>"(0.593)"</f>
        <v>(0.593)</v>
      </c>
      <c r="AV63" s="1" t="str">
        <f>"(0.160)"</f>
        <v>(0.160)</v>
      </c>
      <c r="AW63" s="1" t="str">
        <f>"(0.168)"</f>
        <v>(0.168)</v>
      </c>
      <c r="AX63" s="1" t="str">
        <f>"(1.163)"</f>
        <v>(1.163)</v>
      </c>
      <c r="AY63" s="1" t="str">
        <f>"(0.931)"</f>
        <v>(0.931)</v>
      </c>
      <c r="AZ63" s="1" t="str">
        <f>"(1.301)"</f>
        <v>(1.301)</v>
      </c>
      <c r="BA63" s="1" t="str">
        <f>"(1.229)"</f>
        <v>(1.229)</v>
      </c>
    </row>
    <row r="64" spans="1:53" x14ac:dyDescent="0.25">
      <c r="A64" s="1" t="str">
        <f>"age_group==    17.0000"</f>
        <v>age_group==    17.0000</v>
      </c>
      <c r="B64" s="1" t="str">
        <f>"0.908"</f>
        <v>0.908</v>
      </c>
      <c r="C64" s="1" t="str">
        <f>"0.934"</f>
        <v>0.934</v>
      </c>
      <c r="D64" s="1" t="str">
        <f>"0.915"</f>
        <v>0.915</v>
      </c>
      <c r="E64" s="1" t="str">
        <f>"0.907"</f>
        <v>0.907</v>
      </c>
      <c r="F64" s="1" t="str">
        <f>"1.291"</f>
        <v>1.291</v>
      </c>
      <c r="G64" s="1" t="str">
        <f>"1.336"</f>
        <v>1.336</v>
      </c>
      <c r="H64" s="1" t="str">
        <f>"0.740"</f>
        <v>0.740</v>
      </c>
      <c r="I64" s="1" t="str">
        <f>"0.761"</f>
        <v>0.761</v>
      </c>
      <c r="J64" s="1" t="str">
        <f>"1.275"</f>
        <v>1.275</v>
      </c>
      <c r="K64" s="1" t="str">
        <f>"1.201"</f>
        <v>1.201</v>
      </c>
      <c r="L64" s="1" t="str">
        <f>"0.303"</f>
        <v>0.303</v>
      </c>
      <c r="M64" s="1" t="str">
        <f>"0.328"</f>
        <v>0.328</v>
      </c>
      <c r="N64" s="1" t="str">
        <f>"1.616"</f>
        <v>1.616</v>
      </c>
      <c r="O64" s="1" t="str">
        <f>"1.628"</f>
        <v>1.628</v>
      </c>
      <c r="P64" s="1" t="str">
        <f>"0.746"</f>
        <v>0.746</v>
      </c>
      <c r="Q64" s="1" t="str">
        <f>"0.698"</f>
        <v>0.698</v>
      </c>
      <c r="R64" s="1" t="str">
        <f>"0.454*"</f>
        <v>0.454*</v>
      </c>
      <c r="S64" s="1" t="str">
        <f>"0.461*"</f>
        <v>0.461*</v>
      </c>
      <c r="T64" s="1" t="str">
        <f>"0.913"</f>
        <v>0.913</v>
      </c>
      <c r="U64" s="1" t="str">
        <f>"0.827"</f>
        <v>0.827</v>
      </c>
      <c r="V64" s="1" t="str">
        <f>"0.646"</f>
        <v>0.646</v>
      </c>
      <c r="W64" s="1" t="str">
        <f>"0.656"</f>
        <v>0.656</v>
      </c>
      <c r="X64" s="1" t="str">
        <f>"1.272"</f>
        <v>1.272</v>
      </c>
      <c r="Y64" s="1" t="str">
        <f>"1.289"</f>
        <v>1.289</v>
      </c>
      <c r="Z64" s="1" t="str">
        <f>"1.636"</f>
        <v>1.636</v>
      </c>
      <c r="AA64" s="1" t="str">
        <f>"1.675"</f>
        <v>1.675</v>
      </c>
      <c r="AB64" s="1" t="str">
        <f>"1.035"</f>
        <v>1.035</v>
      </c>
      <c r="AC64" s="1" t="str">
        <f>"0.997"</f>
        <v>0.997</v>
      </c>
      <c r="AD64" s="1" t="str">
        <f>"0.899"</f>
        <v>0.899</v>
      </c>
      <c r="AE64" s="1" t="str">
        <f>"0.834"</f>
        <v>0.834</v>
      </c>
      <c r="AF64" s="1" t="str">
        <f>"0.353"</f>
        <v>0.353</v>
      </c>
      <c r="AG64" s="1" t="str">
        <f>"0.344*"</f>
        <v>0.344*</v>
      </c>
      <c r="AH64" s="1" t="str">
        <f>"2.433"</f>
        <v>2.433</v>
      </c>
      <c r="AI64" s="1" t="str">
        <f>"2.384"</f>
        <v>2.384</v>
      </c>
      <c r="AJ64" s="1" t="str">
        <f>"0.643"</f>
        <v>0.643</v>
      </c>
      <c r="AK64" s="1" t="str">
        <f>"0.656"</f>
        <v>0.656</v>
      </c>
      <c r="AL64" s="1" t="str">
        <f>"0.708"</f>
        <v>0.708</v>
      </c>
      <c r="AM64" s="1" t="str">
        <f>"0.692"</f>
        <v>0.692</v>
      </c>
      <c r="AN64" s="1" t="str">
        <f>"7.470*"</f>
        <v>7.470*</v>
      </c>
      <c r="AO64" s="1" t="str">
        <f>"7.987*"</f>
        <v>7.987*</v>
      </c>
      <c r="AP64" s="1" t="str">
        <f>"1.775"</f>
        <v>1.775</v>
      </c>
      <c r="AQ64" s="1" t="str">
        <f>"1.914"</f>
        <v>1.914</v>
      </c>
      <c r="AR64" s="1" t="str">
        <f>"0.234"</f>
        <v>0.234</v>
      </c>
      <c r="AS64" s="1" t="str">
        <f>"0.240"</f>
        <v>0.240</v>
      </c>
      <c r="AT64" s="1" t="str">
        <f>"0.982"</f>
        <v>0.982</v>
      </c>
      <c r="AU64" s="1" t="str">
        <f>"0.808"</f>
        <v>0.808</v>
      </c>
      <c r="AV64" s="1" t="str">
        <f>"0.279"</f>
        <v>0.279</v>
      </c>
      <c r="AW64" s="1" t="str">
        <f>"0.271"</f>
        <v>0.271</v>
      </c>
      <c r="AX64" s="1" t="str">
        <f>"3.324"</f>
        <v>3.324</v>
      </c>
      <c r="AY64" s="1" t="str">
        <f>"2.591"</f>
        <v>2.591</v>
      </c>
      <c r="AZ64" s="1" t="str">
        <f>"2.299"</f>
        <v>2.299</v>
      </c>
      <c r="BA64" s="1" t="str">
        <f>"2.111"</f>
        <v>2.111</v>
      </c>
    </row>
    <row r="65" spans="1:53" x14ac:dyDescent="0.25">
      <c r="A65" s="1" t="str">
        <f>""</f>
        <v/>
      </c>
      <c r="B65" s="1" t="str">
        <f>"(0.416)"</f>
        <v>(0.416)</v>
      </c>
      <c r="C65" s="1" t="str">
        <f>"(0.441)"</f>
        <v>(0.441)</v>
      </c>
      <c r="D65" s="1" t="str">
        <f>"(0.504)"</f>
        <v>(0.504)</v>
      </c>
      <c r="E65" s="1" t="str">
        <f>"(0.503)"</f>
        <v>(0.503)</v>
      </c>
      <c r="F65" s="1" t="str">
        <f>"(0.578)"</f>
        <v>(0.578)</v>
      </c>
      <c r="G65" s="1" t="str">
        <f>"(0.596)"</f>
        <v>(0.596)</v>
      </c>
      <c r="H65" s="1" t="str">
        <f>"(0.308)"</f>
        <v>(0.308)</v>
      </c>
      <c r="I65" s="1" t="str">
        <f>"(0.306)"</f>
        <v>(0.306)</v>
      </c>
      <c r="J65" s="1" t="str">
        <f>"(0.838)"</f>
        <v>(0.838)</v>
      </c>
      <c r="K65" s="1" t="str">
        <f>"(0.741)"</f>
        <v>(0.741)</v>
      </c>
      <c r="L65" s="1" t="str">
        <f>"(0.242)"</f>
        <v>(0.242)</v>
      </c>
      <c r="M65" s="1" t="str">
        <f>"(0.269)"</f>
        <v>(0.269)</v>
      </c>
      <c r="N65" s="1" t="str">
        <f>"(0.731)"</f>
        <v>(0.731)</v>
      </c>
      <c r="O65" s="1" t="str">
        <f>"(0.741)"</f>
        <v>(0.741)</v>
      </c>
      <c r="P65" s="1" t="str">
        <f>"(0.666)"</f>
        <v>(0.666)</v>
      </c>
      <c r="Q65" s="1" t="str">
        <f>"(0.620)"</f>
        <v>(0.620)</v>
      </c>
      <c r="R65" s="1" t="str">
        <f>"(0.180)"</f>
        <v>(0.180)</v>
      </c>
      <c r="S65" s="1" t="str">
        <f>"(0.179)"</f>
        <v>(0.179)</v>
      </c>
      <c r="T65" s="1" t="str">
        <f>"(0.333)"</f>
        <v>(0.333)</v>
      </c>
      <c r="U65" s="1" t="str">
        <f>"(0.347)"</f>
        <v>(0.347)</v>
      </c>
      <c r="V65" s="1" t="str">
        <f>"(0.227)"</f>
        <v>(0.227)</v>
      </c>
      <c r="W65" s="1" t="str">
        <f>"(0.231)"</f>
        <v>(0.231)</v>
      </c>
      <c r="X65" s="1" t="str">
        <f>"(0.412)"</f>
        <v>(0.412)</v>
      </c>
      <c r="Y65" s="1" t="str">
        <f>"(0.413)"</f>
        <v>(0.413)</v>
      </c>
      <c r="Z65" s="1" t="str">
        <f>"(0.643)"</f>
        <v>(0.643)</v>
      </c>
      <c r="AA65" s="1" t="str">
        <f>"(0.664)"</f>
        <v>(0.664)</v>
      </c>
      <c r="AB65" s="1" t="str">
        <f>"(0.338)"</f>
        <v>(0.338)</v>
      </c>
      <c r="AC65" s="1" t="str">
        <f>"(0.341)"</f>
        <v>(0.341)</v>
      </c>
      <c r="AD65" s="1" t="str">
        <f>"(0.297)"</f>
        <v>(0.297)</v>
      </c>
      <c r="AE65" s="1" t="str">
        <f>"(0.287)"</f>
        <v>(0.287)</v>
      </c>
      <c r="AF65" s="1" t="str">
        <f>"(0.191)"</f>
        <v>(0.191)</v>
      </c>
      <c r="AG65" s="1" t="str">
        <f>"(0.187)"</f>
        <v>(0.187)</v>
      </c>
      <c r="AH65" s="1" t="str">
        <f>"(1.927)"</f>
        <v>(1.927)</v>
      </c>
      <c r="AI65" s="1" t="str">
        <f>"(1.772)"</f>
        <v>(1.772)</v>
      </c>
      <c r="AJ65" s="1" t="str">
        <f>"(0.227)"</f>
        <v>(0.227)</v>
      </c>
      <c r="AK65" s="1" t="str">
        <f>"(0.225)"</f>
        <v>(0.225)</v>
      </c>
      <c r="AL65" s="1" t="str">
        <f>"(0.237)"</f>
        <v>(0.237)</v>
      </c>
      <c r="AM65" s="1" t="str">
        <f>"(0.236)"</f>
        <v>(0.236)</v>
      </c>
      <c r="AN65" s="1" t="str">
        <f>"(6.806)"</f>
        <v>(6.806)</v>
      </c>
      <c r="AO65" s="1" t="str">
        <f>"(7.085)"</f>
        <v>(7.085)</v>
      </c>
      <c r="AP65" s="1" t="str">
        <f>"(1.053)"</f>
        <v>(1.053)</v>
      </c>
      <c r="AQ65" s="1" t="str">
        <f>"(1.113)"</f>
        <v>(1.113)</v>
      </c>
      <c r="AR65" s="1" t="str">
        <f>"(0.263)"</f>
        <v>(0.263)</v>
      </c>
      <c r="AS65" s="1" t="str">
        <f>"(0.267)"</f>
        <v>(0.267)</v>
      </c>
      <c r="AT65" s="1" t="str">
        <f>"(0.496)"</f>
        <v>(0.496)</v>
      </c>
      <c r="AU65" s="1" t="str">
        <f>"(0.395)"</f>
        <v>(0.395)</v>
      </c>
      <c r="AV65" s="1" t="str">
        <f>"(0.183)"</f>
        <v>(0.183)</v>
      </c>
      <c r="AW65" s="1" t="str">
        <f>"(0.182)"</f>
        <v>(0.182)</v>
      </c>
      <c r="AX65" s="1" t="str">
        <f>"(3.374)"</f>
        <v>(3.374)</v>
      </c>
      <c r="AY65" s="1" t="str">
        <f>"(2.315)"</f>
        <v>(2.315)</v>
      </c>
      <c r="AZ65" s="1" t="str">
        <f>"(1.627)"</f>
        <v>(1.627)</v>
      </c>
      <c r="BA65" s="1" t="str">
        <f>"(1.451)"</f>
        <v>(1.451)</v>
      </c>
    </row>
    <row r="66" spans="1:53" x14ac:dyDescent="0.25">
      <c r="A66" s="1" t="str">
        <f>"age_group==    18.0000"</f>
        <v>age_group==    18.0000</v>
      </c>
      <c r="B66" s="1" t="str">
        <f>"1.317"</f>
        <v>1.317</v>
      </c>
      <c r="C66" s="1" t="str">
        <f>"1.316"</f>
        <v>1.316</v>
      </c>
      <c r="D66" s="1" t="str">
        <f>"0.756"</f>
        <v>0.756</v>
      </c>
      <c r="E66" s="1" t="str">
        <f>"0.746"</f>
        <v>0.746</v>
      </c>
      <c r="F66" s="1" t="str">
        <f>"1.132"</f>
        <v>1.132</v>
      </c>
      <c r="G66" s="1" t="str">
        <f>"1.154"</f>
        <v>1.154</v>
      </c>
      <c r="H66" s="1" t="str">
        <f>"0.701"</f>
        <v>0.701</v>
      </c>
      <c r="I66" s="1" t="str">
        <f>"0.716"</f>
        <v>0.716</v>
      </c>
      <c r="J66" s="1" t="str">
        <f>"1.225"</f>
        <v>1.225</v>
      </c>
      <c r="K66" s="1" t="str">
        <f>"1.199"</f>
        <v>1.199</v>
      </c>
      <c r="L66" s="1" t="str">
        <f>"0.230"</f>
        <v>0.230</v>
      </c>
      <c r="M66" s="1" t="str">
        <f>"0.235"</f>
        <v>0.235</v>
      </c>
      <c r="N66" s="1" t="str">
        <f>"1.463"</f>
        <v>1.463</v>
      </c>
      <c r="O66" s="1" t="str">
        <f>"1.460"</f>
        <v>1.460</v>
      </c>
      <c r="P66" s="1" t="str">
        <f>"0.741"</f>
        <v>0.741</v>
      </c>
      <c r="Q66" s="1" t="str">
        <f>"0.806"</f>
        <v>0.806</v>
      </c>
      <c r="R66" s="1" t="str">
        <f>"0.703"</f>
        <v>0.703</v>
      </c>
      <c r="S66" s="1" t="str">
        <f>"0.718"</f>
        <v>0.718</v>
      </c>
      <c r="T66" s="1" t="str">
        <f>"1.599"</f>
        <v>1.599</v>
      </c>
      <c r="U66" s="1" t="str">
        <f>"1.440"</f>
        <v>1.440</v>
      </c>
      <c r="V66" s="1" t="str">
        <f>"0.398*"</f>
        <v>0.398*</v>
      </c>
      <c r="W66" s="1" t="str">
        <f>"0.402*"</f>
        <v>0.402*</v>
      </c>
      <c r="X66" s="1" t="str">
        <f>"1.699"</f>
        <v>1.699</v>
      </c>
      <c r="Y66" s="1" t="str">
        <f>"1.782"</f>
        <v>1.782</v>
      </c>
      <c r="Z66" s="1" t="str">
        <f>"1.417"</f>
        <v>1.417</v>
      </c>
      <c r="AA66" s="1" t="str">
        <f>"1.464"</f>
        <v>1.464</v>
      </c>
      <c r="AB66" s="1" t="str">
        <f>"1.144"</f>
        <v>1.144</v>
      </c>
      <c r="AC66" s="1" t="str">
        <f>"1.116"</f>
        <v>1.116</v>
      </c>
      <c r="AD66" s="1" t="str">
        <f>"0.986"</f>
        <v>0.986</v>
      </c>
      <c r="AE66" s="1" t="str">
        <f>"0.901"</f>
        <v>0.901</v>
      </c>
      <c r="AF66" s="1" t="str">
        <f>"0.292*"</f>
        <v>0.292*</v>
      </c>
      <c r="AG66" s="1" t="str">
        <f>"0.275*"</f>
        <v>0.275*</v>
      </c>
      <c r="AH66" s="1" t="str">
        <f>"2.074"</f>
        <v>2.074</v>
      </c>
      <c r="AI66" s="1" t="str">
        <f>"2.011"</f>
        <v>2.011</v>
      </c>
      <c r="AJ66" s="1" t="str">
        <f>"0.952"</f>
        <v>0.952</v>
      </c>
      <c r="AK66" s="1" t="str">
        <f>"0.965"</f>
        <v>0.965</v>
      </c>
      <c r="AL66" s="1" t="str">
        <f>"0.913"</f>
        <v>0.913</v>
      </c>
      <c r="AM66" s="1" t="str">
        <f>"0.908"</f>
        <v>0.908</v>
      </c>
      <c r="AN66" s="1" t="str">
        <f>"4.489"</f>
        <v>4.489</v>
      </c>
      <c r="AO66" s="1" t="str">
        <f>"4.524"</f>
        <v>4.524</v>
      </c>
      <c r="AP66" s="1" t="str">
        <f>"1.994"</f>
        <v>1.994</v>
      </c>
      <c r="AQ66" s="1" t="str">
        <f>"2.137"</f>
        <v>2.137</v>
      </c>
      <c r="AR66" s="1" t="str">
        <f>"0.457"</f>
        <v>0.457</v>
      </c>
      <c r="AS66" s="1" t="str">
        <f>"0.472"</f>
        <v>0.472</v>
      </c>
      <c r="AT66" s="1" t="str">
        <f>"1.757"</f>
        <v>1.757</v>
      </c>
      <c r="AU66" s="1" t="str">
        <f>"1.368"</f>
        <v>1.368</v>
      </c>
      <c r="AV66" s="1" t="str">
        <f>"0.245*"</f>
        <v>0.245*</v>
      </c>
      <c r="AW66" s="1" t="str">
        <f>"0.243*"</f>
        <v>0.243*</v>
      </c>
      <c r="AX66" s="1" t="str">
        <f>"1.178"</f>
        <v>1.178</v>
      </c>
      <c r="AY66" s="1" t="str">
        <f>"0.934"</f>
        <v>0.934</v>
      </c>
      <c r="AZ66" s="1" t="str">
        <f>"2.591"</f>
        <v>2.591</v>
      </c>
      <c r="BA66" s="1" t="str">
        <f>"2.380"</f>
        <v>2.380</v>
      </c>
    </row>
    <row r="67" spans="1:53" x14ac:dyDescent="0.25">
      <c r="A67" s="1" t="str">
        <f>""</f>
        <v/>
      </c>
      <c r="B67" s="1" t="str">
        <f>"(0.599)"</f>
        <v>(0.599)</v>
      </c>
      <c r="C67" s="1" t="str">
        <f>"(0.604)"</f>
        <v>(0.604)</v>
      </c>
      <c r="D67" s="1" t="str">
        <f>"(0.354)"</f>
        <v>(0.354)</v>
      </c>
      <c r="E67" s="1" t="str">
        <f>"(0.354)"</f>
        <v>(0.354)</v>
      </c>
      <c r="F67" s="1" t="str">
        <f>"(0.543)"</f>
        <v>(0.543)</v>
      </c>
      <c r="G67" s="1" t="str">
        <f>"(0.550)"</f>
        <v>(0.550)</v>
      </c>
      <c r="H67" s="1" t="str">
        <f>"(0.263)"</f>
        <v>(0.263)</v>
      </c>
      <c r="I67" s="1" t="str">
        <f>"(0.261)"</f>
        <v>(0.261)</v>
      </c>
      <c r="J67" s="1" t="str">
        <f>"(0.760)"</f>
        <v>(0.760)</v>
      </c>
      <c r="K67" s="1" t="str">
        <f>"(0.709)"</f>
        <v>(0.709)</v>
      </c>
      <c r="L67" s="1" t="str">
        <f>"(0.202)"</f>
        <v>(0.202)</v>
      </c>
      <c r="M67" s="1" t="str">
        <f>"(0.207)"</f>
        <v>(0.207)</v>
      </c>
      <c r="N67" s="1" t="str">
        <f>"(0.638)"</f>
        <v>(0.638)</v>
      </c>
      <c r="O67" s="1" t="str">
        <f>"(0.644)"</f>
        <v>(0.644)</v>
      </c>
      <c r="P67" s="1" t="str">
        <f>"(0.630)"</f>
        <v>(0.630)</v>
      </c>
      <c r="Q67" s="1" t="str">
        <f>"(0.705)"</f>
        <v>(0.705)</v>
      </c>
      <c r="R67" s="1" t="str">
        <f>"(0.260)"</f>
        <v>(0.260)</v>
      </c>
      <c r="S67" s="1" t="str">
        <f>"(0.257)"</f>
        <v>(0.257)</v>
      </c>
      <c r="T67" s="1" t="str">
        <f>"(0.623)"</f>
        <v>(0.623)</v>
      </c>
      <c r="U67" s="1" t="str">
        <f>"(0.618)"</f>
        <v>(0.618)</v>
      </c>
      <c r="V67" s="1" t="str">
        <f>"(0.145)"</f>
        <v>(0.145)</v>
      </c>
      <c r="W67" s="1" t="str">
        <f>"(0.147)"</f>
        <v>(0.147)</v>
      </c>
      <c r="X67" s="1" t="str">
        <f>"(0.645)"</f>
        <v>(0.645)</v>
      </c>
      <c r="Y67" s="1" t="str">
        <f>"(0.701)"</f>
        <v>(0.701)</v>
      </c>
      <c r="Z67" s="1" t="str">
        <f>"(0.583)"</f>
        <v>(0.583)</v>
      </c>
      <c r="AA67" s="1" t="str">
        <f>"(0.606)"</f>
        <v>(0.606)</v>
      </c>
      <c r="AB67" s="1" t="str">
        <f>"(0.318)"</f>
        <v>(0.318)</v>
      </c>
      <c r="AC67" s="1" t="str">
        <f>"(0.325)"</f>
        <v>(0.325)</v>
      </c>
      <c r="AD67" s="1" t="str">
        <f>"(0.337)"</f>
        <v>(0.337)</v>
      </c>
      <c r="AE67" s="1" t="str">
        <f>"(0.319)"</f>
        <v>(0.319)</v>
      </c>
      <c r="AF67" s="1" t="str">
        <f>"(0.168)"</f>
        <v>(0.168)</v>
      </c>
      <c r="AG67" s="1" t="str">
        <f>"(0.160)"</f>
        <v>(0.160)</v>
      </c>
      <c r="AH67" s="1" t="str">
        <f>"(1.562)"</f>
        <v>(1.562)</v>
      </c>
      <c r="AI67" s="1" t="str">
        <f>"(1.397)"</f>
        <v>(1.397)</v>
      </c>
      <c r="AJ67" s="1" t="str">
        <f>"(0.297)"</f>
        <v>(0.297)</v>
      </c>
      <c r="AK67" s="1" t="str">
        <f>"(0.298)"</f>
        <v>(0.298)</v>
      </c>
      <c r="AL67" s="1" t="str">
        <f>"(0.260)"</f>
        <v>(0.260)</v>
      </c>
      <c r="AM67" s="1" t="str">
        <f>"(0.268)"</f>
        <v>(0.268)</v>
      </c>
      <c r="AN67" s="1" t="str">
        <f>"(3.627)"</f>
        <v>(3.627)</v>
      </c>
      <c r="AO67" s="1" t="str">
        <f>"(3.672)"</f>
        <v>(3.672)</v>
      </c>
      <c r="AP67" s="1" t="str">
        <f>"(1.154)"</f>
        <v>(1.154)</v>
      </c>
      <c r="AQ67" s="1" t="str">
        <f>"(1.193)"</f>
        <v>(1.193)</v>
      </c>
      <c r="AR67" s="1" t="str">
        <f>"(0.524)"</f>
        <v>(0.524)</v>
      </c>
      <c r="AS67" s="1" t="str">
        <f>"(0.544)"</f>
        <v>(0.544)</v>
      </c>
      <c r="AT67" s="1" t="str">
        <f>"(0.965)"</f>
        <v>(0.965)</v>
      </c>
      <c r="AU67" s="1" t="str">
        <f>"(0.721)"</f>
        <v>(0.721)</v>
      </c>
      <c r="AV67" s="1" t="str">
        <f>"(0.162)"</f>
        <v>(0.162)</v>
      </c>
      <c r="AW67" s="1" t="str">
        <f>"(0.165)"</f>
        <v>(0.165)</v>
      </c>
      <c r="AX67" s="1" t="str">
        <f>"(1.091)"</f>
        <v>(1.091)</v>
      </c>
      <c r="AY67" s="1" t="str">
        <f>"(0.799)"</f>
        <v>(0.799)</v>
      </c>
      <c r="AZ67" s="1" t="str">
        <f>"(1.879)"</f>
        <v>(1.879)</v>
      </c>
      <c r="BA67" s="1" t="str">
        <f>"(1.695)"</f>
        <v>(1.695)</v>
      </c>
    </row>
    <row r="68" spans="1:53" x14ac:dyDescent="0.25">
      <c r="A68" s="1" t="str">
        <f>"Log likelihood"</f>
        <v>Log likelihood</v>
      </c>
      <c r="B68" s="1" t="str">
        <f>"-427.2812969542144"</f>
        <v>-427.2812969542144</v>
      </c>
      <c r="C68" s="1" t="str">
        <f>"-423.6003675110347"</f>
        <v>-423.6003675110347</v>
      </c>
      <c r="D68" s="1" t="str">
        <f>"-533.9485512598652"</f>
        <v>-533.9485512598652</v>
      </c>
      <c r="E68" s="1" t="str">
        <f>"-533.4383732507789"</f>
        <v>-533.4383732507789</v>
      </c>
      <c r="F68" s="1" t="str">
        <f>"-686.9854408226613"</f>
        <v>-686.9854408226613</v>
      </c>
      <c r="G68" s="1" t="str">
        <f>"-682.5430838741788"</f>
        <v>-682.5430838741788</v>
      </c>
      <c r="H68" s="1" t="str">
        <f>"-734.5403184966592"</f>
        <v>-734.5403184966592</v>
      </c>
      <c r="I68" s="1" t="str">
        <f>"-731.6360943948822"</f>
        <v>-731.6360943948822</v>
      </c>
      <c r="J68" s="1" t="str">
        <f>"-962.9245368938057"</f>
        <v>-962.9245368938057</v>
      </c>
      <c r="K68" s="1" t="str">
        <f>"-947.4191600317752"</f>
        <v>-947.4191600317752</v>
      </c>
      <c r="L68" s="1" t="str">
        <f>"-219.3538610327033"</f>
        <v>-219.3538610327033</v>
      </c>
      <c r="M68" s="1" t="str">
        <f>"-215.3435332925121"</f>
        <v>-215.3435332925121</v>
      </c>
      <c r="N68" s="1" t="str">
        <f>"-1004.023329141254"</f>
        <v>-1004.023329141254</v>
      </c>
      <c r="O68" s="1" t="str">
        <f>"-1002.119728908759"</f>
        <v>-1002.119728908759</v>
      </c>
      <c r="P68" s="1" t="str">
        <f>"-226.0091535695053"</f>
        <v>-226.0091535695053</v>
      </c>
      <c r="Q68" s="1" t="str">
        <f>"-213.0952387356032"</f>
        <v>-213.0952387356032</v>
      </c>
      <c r="R68" s="1" t="str">
        <f>"-1192.632975621448"</f>
        <v>-1192.632975621448</v>
      </c>
      <c r="S68" s="1" t="str">
        <f>"-1171.598972524913"</f>
        <v>-1171.598972524913</v>
      </c>
      <c r="T68" s="1" t="str">
        <f>"-1274.413922097995"</f>
        <v>-1274.413922097995</v>
      </c>
      <c r="U68" s="1" t="str">
        <f>"-1224.166891542446"</f>
        <v>-1224.166891542446</v>
      </c>
      <c r="V68" s="1" t="str">
        <f>"-871.0374691950983"</f>
        <v>-871.0374691950983</v>
      </c>
      <c r="W68" s="1" t="str">
        <f>"-869.9007127928584"</f>
        <v>-869.9007127928584</v>
      </c>
      <c r="X68" s="1" t="str">
        <f>"-1064.506872213929"</f>
        <v>-1064.506872213929</v>
      </c>
      <c r="Y68" s="1" t="str">
        <f>"-1049.210266501612"</f>
        <v>-1049.210266501612</v>
      </c>
      <c r="Z68" s="1" t="str">
        <f>"-1130.653542747399"</f>
        <v>-1130.653542747399</v>
      </c>
      <c r="AA68" s="1" t="str">
        <f>"-1120.31877119553"</f>
        <v>-1120.31877119553</v>
      </c>
      <c r="AB68" s="1" t="str">
        <f>"-828.8180154945771"</f>
        <v>-828.8180154945771</v>
      </c>
      <c r="AC68" s="1" t="str">
        <f>"-809.6745207075901"</f>
        <v>-809.6745207075901</v>
      </c>
      <c r="AD68" s="1" t="str">
        <f>"-1397.909187036379"</f>
        <v>-1397.909187036379</v>
      </c>
      <c r="AE68" s="1" t="str">
        <f>"-1351.548247208934"</f>
        <v>-1351.548247208934</v>
      </c>
      <c r="AF68" s="1" t="str">
        <f>"-423.2539476457179"</f>
        <v>-423.2539476457179</v>
      </c>
      <c r="AG68" s="1" t="str">
        <f>"-421.2814520762892"</f>
        <v>-421.2814520762892</v>
      </c>
      <c r="AH68" s="1" t="str">
        <f>"-716.3079496918539"</f>
        <v>-716.3079496918539</v>
      </c>
      <c r="AI68" s="1" t="str">
        <f>"-714.7626528581894"</f>
        <v>-714.7626528581894</v>
      </c>
      <c r="AJ68" s="1" t="str">
        <f>"-1076.197984454103"</f>
        <v>-1076.197984454103</v>
      </c>
      <c r="AK68" s="1" t="str">
        <f>"-1075.331119354358"</f>
        <v>-1075.331119354358</v>
      </c>
      <c r="AL68" s="1" t="str">
        <f>"-1137.491561508027"</f>
        <v>-1137.491561508027</v>
      </c>
      <c r="AM68" s="1" t="str">
        <f>"-1133.05774214595"</f>
        <v>-1133.05774214595</v>
      </c>
      <c r="AN68" s="1" t="str">
        <f>"-538.4843510253688"</f>
        <v>-538.4843510253688</v>
      </c>
      <c r="AO68" s="1" t="str">
        <f>"-537.2200489676105"</f>
        <v>-537.2200489676105</v>
      </c>
      <c r="AP68" s="1" t="str">
        <f>"-854.6988089056827"</f>
        <v>-854.6988089056827</v>
      </c>
      <c r="AQ68" s="1" t="str">
        <f>"-844.57582983314"</f>
        <v>-844.57582983314</v>
      </c>
      <c r="AR68" s="1" t="str">
        <f>"-163.9771374595936"</f>
        <v>-163.9771374595936</v>
      </c>
      <c r="AS68" s="1" t="str">
        <f>"-163.8062578952178"</f>
        <v>-163.8062578952178</v>
      </c>
      <c r="AT68" s="1" t="str">
        <f>"-434.0639462370381"</f>
        <v>-434.0639462370381</v>
      </c>
      <c r="AU68" s="1" t="str">
        <f>"-426.4565836043598"</f>
        <v>-426.4565836043598</v>
      </c>
      <c r="AV68" s="1" t="str">
        <f>"-389.9963053607031"</f>
        <v>-389.9963053607031</v>
      </c>
      <c r="AW68" s="1" t="str">
        <f>"-385.9595731419254"</f>
        <v>-385.9595731419254</v>
      </c>
      <c r="AX68" s="1" t="str">
        <f>"-456.5863993917745"</f>
        <v>-456.5863993917745</v>
      </c>
      <c r="AY68" s="1" t="str">
        <f>"-446.5916869910841"</f>
        <v>-446.5916869910841</v>
      </c>
      <c r="AZ68" s="1" t="str">
        <f>"-412.3721558733155"</f>
        <v>-412.3721558733155</v>
      </c>
      <c r="BA68" s="1" t="str">
        <f>"-409.2989953112062"</f>
        <v>-409.2989953112062</v>
      </c>
    </row>
    <row r="69" spans="1:53" x14ac:dyDescent="0.25">
      <c r="A69" s="1" t="str">
        <f>"Sample Size"</f>
        <v>Sample Size</v>
      </c>
      <c r="B69" s="1" t="str">
        <f>"2577.000"</f>
        <v>2577.000</v>
      </c>
      <c r="C69" s="1" t="str">
        <f>"2577.000"</f>
        <v>2577.000</v>
      </c>
      <c r="D69" s="1" t="str">
        <f>"2584.000"</f>
        <v>2584.000</v>
      </c>
      <c r="E69" s="1" t="str">
        <f>"2584.000"</f>
        <v>2584.000</v>
      </c>
      <c r="F69" s="1" t="str">
        <f>"2576.000"</f>
        <v>2576.000</v>
      </c>
      <c r="G69" s="1" t="str">
        <f>"2576.000"</f>
        <v>2576.000</v>
      </c>
      <c r="H69" s="1" t="str">
        <f>"2583.000"</f>
        <v>2583.000</v>
      </c>
      <c r="I69" s="1" t="str">
        <f>"2583.000"</f>
        <v>2583.000</v>
      </c>
      <c r="J69" s="1" t="str">
        <f>"2577.000"</f>
        <v>2577.000</v>
      </c>
      <c r="K69" s="1" t="str">
        <f>"2577.000"</f>
        <v>2577.000</v>
      </c>
      <c r="L69" s="1" t="str">
        <f>"2579.000"</f>
        <v>2579.000</v>
      </c>
      <c r="M69" s="1" t="str">
        <f>"2579.000"</f>
        <v>2579.000</v>
      </c>
      <c r="N69" s="1" t="str">
        <f>"2575.000"</f>
        <v>2575.000</v>
      </c>
      <c r="O69" s="1" t="str">
        <f>"2575.000"</f>
        <v>2575.000</v>
      </c>
      <c r="P69" s="1" t="str">
        <f>"2583.000"</f>
        <v>2583.000</v>
      </c>
      <c r="Q69" s="1" t="str">
        <f>"2583.000"</f>
        <v>2583.000</v>
      </c>
      <c r="R69" s="1" t="str">
        <f>"2591.000"</f>
        <v>2591.000</v>
      </c>
      <c r="S69" s="1" t="str">
        <f>"2591.000"</f>
        <v>2591.000</v>
      </c>
      <c r="T69" s="1" t="str">
        <f>"2503.000"</f>
        <v>2503.000</v>
      </c>
      <c r="U69" s="1" t="str">
        <f>"2503.000"</f>
        <v>2503.000</v>
      </c>
      <c r="V69" s="1" t="str">
        <f>"2555.000"</f>
        <v>2555.000</v>
      </c>
      <c r="W69" s="1" t="str">
        <f>"2555.000"</f>
        <v>2555.000</v>
      </c>
      <c r="X69" s="1" t="str">
        <f>"2584.000"</f>
        <v>2584.000</v>
      </c>
      <c r="Y69" s="1" t="str">
        <f>"2584.000"</f>
        <v>2584.000</v>
      </c>
      <c r="Z69" s="1" t="str">
        <f>"2563.000"</f>
        <v>2563.000</v>
      </c>
      <c r="AA69" s="1" t="str">
        <f>"2563.000"</f>
        <v>2563.000</v>
      </c>
      <c r="AB69" s="1" t="str">
        <f>"2579.000"</f>
        <v>2579.000</v>
      </c>
      <c r="AC69" s="1" t="str">
        <f>"2579.000"</f>
        <v>2579.000</v>
      </c>
      <c r="AD69" s="1" t="str">
        <f>"2535.000"</f>
        <v>2535.000</v>
      </c>
      <c r="AE69" s="1" t="str">
        <f>"2535.000"</f>
        <v>2535.000</v>
      </c>
      <c r="AF69" s="1" t="str">
        <f>"2581.000"</f>
        <v>2581.000</v>
      </c>
      <c r="AG69" s="1" t="str">
        <f>"2581.000"</f>
        <v>2581.000</v>
      </c>
      <c r="AH69" s="1" t="str">
        <f>"2570.000"</f>
        <v>2570.000</v>
      </c>
      <c r="AI69" s="1" t="str">
        <f>"2570.000"</f>
        <v>2570.000</v>
      </c>
      <c r="AJ69" s="1" t="str">
        <f>"2563.000"</f>
        <v>2563.000</v>
      </c>
      <c r="AK69" s="1" t="str">
        <f>"2563.000"</f>
        <v>2563.000</v>
      </c>
      <c r="AL69" s="1" t="str">
        <f>"2581.000"</f>
        <v>2581.000</v>
      </c>
      <c r="AM69" s="1" t="str">
        <f>"2581.000"</f>
        <v>2581.000</v>
      </c>
      <c r="AN69" s="1" t="str">
        <f>"1386.000"</f>
        <v>1386.000</v>
      </c>
      <c r="AO69" s="1" t="str">
        <f>"1386.000"</f>
        <v>1386.000</v>
      </c>
      <c r="AP69" s="1" t="str">
        <f>"2379.000"</f>
        <v>2379.000</v>
      </c>
      <c r="AQ69" s="1" t="str">
        <f>"2379.000"</f>
        <v>2379.000</v>
      </c>
      <c r="AR69" s="1" t="str">
        <f>"1389.000"</f>
        <v>1389.000</v>
      </c>
      <c r="AS69" s="1" t="str">
        <f>"1389.000"</f>
        <v>1389.000</v>
      </c>
      <c r="AT69" s="1" t="str">
        <f>"1382.000"</f>
        <v>1382.000</v>
      </c>
      <c r="AU69" s="1" t="str">
        <f>"1382.000"</f>
        <v>1382.000</v>
      </c>
      <c r="AV69" s="1" t="str">
        <f>"1384.000"</f>
        <v>1384.000</v>
      </c>
      <c r="AW69" s="1" t="str">
        <f>"1384.000"</f>
        <v>1384.000</v>
      </c>
      <c r="AX69" s="1" t="str">
        <f>"1386.000"</f>
        <v>1386.000</v>
      </c>
      <c r="AY69" s="1" t="str">
        <f>"1386.000"</f>
        <v>1386.000</v>
      </c>
      <c r="AZ69" s="1" t="str">
        <f>"1382.000"</f>
        <v>1382.000</v>
      </c>
      <c r="BA69" s="1" t="str">
        <f>"1382.000"</f>
        <v>1382.000</v>
      </c>
    </row>
    <row r="70" spans="1:53" x14ac:dyDescent="0.25">
      <c r="A70" s="1" t="str">
        <f>"Exponentiated coefficients; Standard errors in parentheses"</f>
        <v>Exponentiated coefficients; Standard errors in parentheses</v>
      </c>
    </row>
    <row r="71" spans="1:53" x14ac:dyDescent="0.25">
      <c r="A71" s="1" t="s">
        <v>22</v>
      </c>
      <c r="B71" s="1" t="s">
        <v>23</v>
      </c>
      <c r="C71" s="1" t="s">
        <v>24</v>
      </c>
    </row>
  </sheetData>
  <mergeCells count="1">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SD1</vt:lpstr>
      <vt:lpstr>SD2</vt:lpstr>
      <vt:lpstr>SD3</vt:lpstr>
      <vt:lpstr>SD4</vt:lpstr>
      <vt:lpstr>SD5</vt:lpstr>
      <vt:lpstr>SD6</vt:lpstr>
    </vt:vector>
  </TitlesOfParts>
  <Company>Gallup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Rothwell</dc:creator>
  <cp:lastModifiedBy>Jonathan Rothwell</cp:lastModifiedBy>
  <dcterms:created xsi:type="dcterms:W3CDTF">2024-08-20T19:17:54Z</dcterms:created>
  <dcterms:modified xsi:type="dcterms:W3CDTF">2024-09-05T19:32:11Z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b20742-429b-42b9-accf-7e4dee8e6e11_Enabled">
    <vt:lpwstr>true</vt:lpwstr>
  </property>
  <property fmtid="{D5CDD505-2E9C-101B-9397-08002B2CF9AE}" pid="3" name="MSIP_Label_d8b20742-429b-42b9-accf-7e4dee8e6e11_SetDate">
    <vt:lpwstr>2024-08-20T19:18:10Z</vt:lpwstr>
  </property>
  <property fmtid="{D5CDD505-2E9C-101B-9397-08002B2CF9AE}" pid="4" name="MSIP_Label_d8b20742-429b-42b9-accf-7e4dee8e6e11_Method">
    <vt:lpwstr>Standard</vt:lpwstr>
  </property>
  <property fmtid="{D5CDD505-2E9C-101B-9397-08002B2CF9AE}" pid="5" name="MSIP_Label_d8b20742-429b-42b9-accf-7e4dee8e6e11_Name">
    <vt:lpwstr>General</vt:lpwstr>
  </property>
  <property fmtid="{D5CDD505-2E9C-101B-9397-08002B2CF9AE}" pid="6" name="MSIP_Label_d8b20742-429b-42b9-accf-7e4dee8e6e11_SiteId">
    <vt:lpwstr>b14f2065-f065-4a73-8348-7550feb841c5</vt:lpwstr>
  </property>
  <property fmtid="{D5CDD505-2E9C-101B-9397-08002B2CF9AE}" pid="7" name="MSIP_Label_d8b20742-429b-42b9-accf-7e4dee8e6e11_ActionId">
    <vt:lpwstr>3c3bde58-419a-47dc-aafe-2b296c677ffe</vt:lpwstr>
  </property>
  <property fmtid="{D5CDD505-2E9C-101B-9397-08002B2CF9AE}" pid="8" name="MSIP_Label_d8b20742-429b-42b9-accf-7e4dee8e6e11_ContentBits">
    <vt:lpwstr>0</vt:lpwstr>
  </property>
</Properties>
</file>